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FAE1E542-AD6A-47E9-A3BE-01542A4DD446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Hárok1" sheetId="1" r:id="rId1"/>
  </sheets>
  <definedNames>
    <definedName name="_xlnm.Print_Area" localSheetId="0">Hárok1!$A$1:$I$125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7" i="1" l="1"/>
  <c r="G91" i="1"/>
  <c r="G81" i="1"/>
  <c r="G80" i="1"/>
  <c r="G79" i="1"/>
  <c r="G76" i="1"/>
  <c r="G75" i="1"/>
  <c r="G74" i="1"/>
  <c r="G73" i="1"/>
  <c r="G72" i="1"/>
  <c r="G71" i="1"/>
  <c r="G70" i="1"/>
  <c r="G68" i="1"/>
  <c r="G67" i="1"/>
  <c r="G66" i="1"/>
  <c r="G65" i="1"/>
  <c r="G64" i="1"/>
  <c r="G63" i="1"/>
  <c r="G59" i="1"/>
  <c r="G45" i="1"/>
  <c r="G32" i="1"/>
  <c r="G29" i="1"/>
  <c r="G28" i="1"/>
  <c r="G27" i="1"/>
  <c r="G24" i="1"/>
  <c r="G23" i="1"/>
  <c r="G22" i="1"/>
  <c r="G89" i="1"/>
  <c r="G61" i="1"/>
  <c r="G55" i="1"/>
  <c r="G13" i="1"/>
  <c r="G12" i="1"/>
  <c r="G93" i="1"/>
  <c r="G57" i="1"/>
  <c r="G95" i="1"/>
  <c r="G98" i="1" l="1"/>
  <c r="G20" i="1"/>
  <c r="G11" i="1"/>
  <c r="G48" i="1"/>
  <c r="G49" i="1"/>
  <c r="G43" i="1"/>
  <c r="G87" i="1"/>
  <c r="G86" i="1"/>
  <c r="G85" i="1"/>
  <c r="G84" i="1"/>
  <c r="G83" i="1"/>
  <c r="G78" i="1"/>
  <c r="G53" i="1"/>
  <c r="G52" i="1"/>
  <c r="G51" i="1"/>
  <c r="G47" i="1"/>
  <c r="G44" i="1"/>
  <c r="G42" i="1"/>
  <c r="G41" i="1"/>
  <c r="G39" i="1"/>
  <c r="G37" i="1"/>
  <c r="G36" i="1"/>
  <c r="G35" i="1"/>
  <c r="G34" i="1"/>
  <c r="G31" i="1"/>
  <c r="G26" i="1"/>
  <c r="G19" i="1"/>
  <c r="G18" i="1"/>
  <c r="G17" i="1"/>
  <c r="G15" i="1"/>
  <c r="G10" i="1"/>
  <c r="G9" i="1"/>
  <c r="G8" i="1"/>
  <c r="G7" i="1"/>
</calcChain>
</file>

<file path=xl/sharedStrings.xml><?xml version="1.0" encoding="utf-8"?>
<sst xmlns="http://schemas.openxmlformats.org/spreadsheetml/2006/main" count="360" uniqueCount="263">
  <si>
    <t xml:space="preserve"> PONUKA NÁSADOVÝCH RÝB - elektronická objednávka</t>
  </si>
  <si>
    <t xml:space="preserve">Druh </t>
  </si>
  <si>
    <t>Popis násady</t>
  </si>
  <si>
    <t>Jednotk. cena</t>
  </si>
  <si>
    <t>Veľkosť</t>
  </si>
  <si>
    <t>Množstvo</t>
  </si>
  <si>
    <t>Cena</t>
  </si>
  <si>
    <t>Termín dodania objednaných násad do  ZO SRZ</t>
  </si>
  <si>
    <t>kateg.</t>
  </si>
  <si>
    <t>€/ks,kg,cm</t>
  </si>
  <si>
    <t>ks,kg</t>
  </si>
  <si>
    <t>EUR</t>
  </si>
  <si>
    <t>KAPOR RYBNIČNÝ</t>
  </si>
  <si>
    <r>
      <t>K</t>
    </r>
    <r>
      <rPr>
        <b/>
        <vertAlign val="subscript"/>
        <sz val="11"/>
        <rFont val="Arial"/>
        <family val="2"/>
        <charset val="238"/>
      </rPr>
      <t>0</t>
    </r>
  </si>
  <si>
    <t>vreckový plôdik</t>
  </si>
  <si>
    <t>2,50/1000 ks</t>
  </si>
  <si>
    <t>x</t>
  </si>
  <si>
    <t>apríl - máj</t>
  </si>
  <si>
    <r>
      <t>K</t>
    </r>
    <r>
      <rPr>
        <b/>
        <vertAlign val="subscript"/>
        <sz val="11"/>
        <rFont val="Arial"/>
        <family val="2"/>
        <charset val="238"/>
      </rPr>
      <t>r</t>
    </r>
  </si>
  <si>
    <t xml:space="preserve">rychlený plôdik do 5 cm </t>
  </si>
  <si>
    <t>19,50/1000 ks</t>
  </si>
  <si>
    <t>máj - jún</t>
  </si>
  <si>
    <r>
      <t>K</t>
    </r>
    <r>
      <rPr>
        <b/>
        <vertAlign val="subscript"/>
        <sz val="11"/>
        <rFont val="Arial"/>
        <family val="2"/>
        <charset val="238"/>
      </rPr>
      <t>1</t>
    </r>
  </si>
  <si>
    <t>násada 1-ročná  10 - 50g</t>
  </si>
  <si>
    <t>5,70/ 1kg</t>
  </si>
  <si>
    <t>september-október</t>
  </si>
  <si>
    <r>
      <t>K</t>
    </r>
    <r>
      <rPr>
        <b/>
        <vertAlign val="subscript"/>
        <sz val="11"/>
        <rFont val="Arial"/>
        <family val="2"/>
        <charset val="238"/>
      </rPr>
      <t>2</t>
    </r>
  </si>
  <si>
    <t>4,00 / 1kg</t>
  </si>
  <si>
    <t>október - november</t>
  </si>
  <si>
    <r>
      <t>K</t>
    </r>
    <r>
      <rPr>
        <b/>
        <sz val="8"/>
        <rFont val="Arial"/>
        <family val="2"/>
        <charset val="238"/>
      </rPr>
      <t>3-jar</t>
    </r>
  </si>
  <si>
    <t>násada 3-ročná nad 1000g/40cm na jar</t>
  </si>
  <si>
    <t>3,90 / 1kg</t>
  </si>
  <si>
    <t>marec - jún</t>
  </si>
  <si>
    <r>
      <t>K</t>
    </r>
    <r>
      <rPr>
        <b/>
        <vertAlign val="subscript"/>
        <sz val="12"/>
        <rFont val="Arial"/>
        <family val="2"/>
        <charset val="238"/>
      </rPr>
      <t>3</t>
    </r>
  </si>
  <si>
    <t>násada 3-ročná nad 1000g/40cm na jeseň</t>
  </si>
  <si>
    <r>
      <t>K</t>
    </r>
    <r>
      <rPr>
        <b/>
        <vertAlign val="subscript"/>
        <sz val="11"/>
        <rFont val="Arial"/>
        <family val="2"/>
        <charset val="238"/>
      </rPr>
      <t xml:space="preserve">4+ </t>
    </r>
    <r>
      <rPr>
        <b/>
        <sz val="11"/>
        <rFont val="Arial"/>
        <family val="2"/>
        <charset val="238"/>
      </rPr>
      <t>#</t>
    </r>
  </si>
  <si>
    <t>5,50 / 1kg</t>
  </si>
  <si>
    <t>LIEŇ SLIZNATÝ</t>
  </si>
  <si>
    <r>
      <t>L</t>
    </r>
    <r>
      <rPr>
        <b/>
        <vertAlign val="subscript"/>
        <sz val="11"/>
        <rFont val="Arial"/>
        <family val="2"/>
        <charset val="238"/>
      </rPr>
      <t>2-3</t>
    </r>
  </si>
  <si>
    <t>násada dvojročná a staršia</t>
  </si>
  <si>
    <t>5,80 / 1kg</t>
  </si>
  <si>
    <t>AMUR BIELY</t>
  </si>
  <si>
    <r>
      <t>Ab</t>
    </r>
    <r>
      <rPr>
        <b/>
        <vertAlign val="subscript"/>
        <sz val="11"/>
        <rFont val="Arial"/>
        <family val="2"/>
        <charset val="238"/>
      </rPr>
      <t>o</t>
    </r>
  </si>
  <si>
    <t>plôdik vreckový</t>
  </si>
  <si>
    <t>3,30 / 1000ks</t>
  </si>
  <si>
    <t>jún-júl</t>
  </si>
  <si>
    <r>
      <t>Ab</t>
    </r>
    <r>
      <rPr>
        <b/>
        <vertAlign val="subscript"/>
        <sz val="11"/>
        <rFont val="Arial"/>
        <family val="2"/>
        <charset val="238"/>
      </rPr>
      <t>r</t>
    </r>
  </si>
  <si>
    <t>plôdik rýchlený nad 2,5 cm</t>
  </si>
  <si>
    <t>30,00 / 1000ks</t>
  </si>
  <si>
    <r>
      <t>Ab</t>
    </r>
    <r>
      <rPr>
        <b/>
        <vertAlign val="subscript"/>
        <sz val="11"/>
        <rFont val="Arial"/>
        <family val="2"/>
        <charset val="238"/>
      </rPr>
      <t>1</t>
    </r>
  </si>
  <si>
    <t xml:space="preserve">násada jednoročná </t>
  </si>
  <si>
    <r>
      <t>A</t>
    </r>
    <r>
      <rPr>
        <b/>
        <vertAlign val="subscript"/>
        <sz val="11"/>
        <rFont val="Arial"/>
        <family val="2"/>
        <charset val="238"/>
      </rPr>
      <t>2-3</t>
    </r>
  </si>
  <si>
    <t>4,20 / 1kg</t>
  </si>
  <si>
    <t xml:space="preserve">ŠŤUKA SEVERNÁ </t>
  </si>
  <si>
    <r>
      <t>Š</t>
    </r>
    <r>
      <rPr>
        <b/>
        <vertAlign val="subscript"/>
        <sz val="11"/>
        <rFont val="Arial"/>
        <family val="2"/>
        <charset val="238"/>
      </rPr>
      <t>0</t>
    </r>
  </si>
  <si>
    <t xml:space="preserve">plôdik vreckový </t>
  </si>
  <si>
    <t xml:space="preserve">apríl </t>
  </si>
  <si>
    <r>
      <t>Š</t>
    </r>
    <r>
      <rPr>
        <b/>
        <vertAlign val="subscript"/>
        <sz val="11"/>
        <rFont val="Arial"/>
        <family val="2"/>
        <charset val="238"/>
      </rPr>
      <t>r</t>
    </r>
  </si>
  <si>
    <t>ZUBÁČ VEĽKOÚSTY</t>
  </si>
  <si>
    <t>Zui</t>
  </si>
  <si>
    <t>ikra (1 hniezdo 100 tis.kusov)</t>
  </si>
  <si>
    <t>160/ 1 hniezdo</t>
  </si>
  <si>
    <r>
      <t>Zu</t>
    </r>
    <r>
      <rPr>
        <b/>
        <vertAlign val="subscript"/>
        <sz val="11"/>
        <rFont val="Arial"/>
        <family val="2"/>
        <charset val="238"/>
      </rPr>
      <t>r</t>
    </r>
  </si>
  <si>
    <t>0,032 / 1cm</t>
  </si>
  <si>
    <r>
      <t>Zu</t>
    </r>
    <r>
      <rPr>
        <b/>
        <vertAlign val="subscript"/>
        <sz val="11"/>
        <rFont val="Arial"/>
        <family val="2"/>
        <charset val="238"/>
      </rPr>
      <t>1+</t>
    </r>
  </si>
  <si>
    <r>
      <t>Zu</t>
    </r>
    <r>
      <rPr>
        <b/>
        <vertAlign val="subscript"/>
        <sz val="11"/>
        <rFont val="Arial"/>
        <family val="2"/>
        <charset val="238"/>
      </rPr>
      <t>2</t>
    </r>
  </si>
  <si>
    <r>
      <t xml:space="preserve">násada dvojročná </t>
    </r>
    <r>
      <rPr>
        <b/>
        <sz val="11"/>
        <rFont val="Arial"/>
        <family val="2"/>
        <charset val="238"/>
      </rPr>
      <t>(OM max 50kg)</t>
    </r>
  </si>
  <si>
    <t>PLESKÁČ VYSOKÝ</t>
  </si>
  <si>
    <r>
      <t>Pl</t>
    </r>
    <r>
      <rPr>
        <b/>
        <vertAlign val="subscript"/>
        <sz val="11"/>
        <rFont val="Arial"/>
        <family val="2"/>
        <charset val="238"/>
      </rPr>
      <t>1</t>
    </r>
  </si>
  <si>
    <t>jednoročná násada nad 5 cm</t>
  </si>
  <si>
    <t>31,00/ 1000 ks</t>
  </si>
  <si>
    <t>september - november</t>
  </si>
  <si>
    <r>
      <t>Pl</t>
    </r>
    <r>
      <rPr>
        <b/>
        <vertAlign val="subscript"/>
        <sz val="11"/>
        <rFont val="Arial"/>
        <family val="2"/>
        <charset val="238"/>
      </rPr>
      <t>2-3</t>
    </r>
  </si>
  <si>
    <r>
      <t xml:space="preserve">násada dvojročná a staršia </t>
    </r>
    <r>
      <rPr>
        <b/>
        <sz val="11"/>
        <rFont val="Arial"/>
        <family val="2"/>
        <charset val="238"/>
      </rPr>
      <t>(OM)</t>
    </r>
  </si>
  <si>
    <t>OSTRIEŽ ZELENKAVÝ</t>
  </si>
  <si>
    <r>
      <t>Ost</t>
    </r>
    <r>
      <rPr>
        <b/>
        <vertAlign val="subscript"/>
        <sz val="11"/>
        <rFont val="Arial CE"/>
        <charset val="238"/>
      </rPr>
      <t>r</t>
    </r>
  </si>
  <si>
    <r>
      <t xml:space="preserve">plôdik rýchlený 2,5 - 6 cm </t>
    </r>
    <r>
      <rPr>
        <b/>
        <sz val="11"/>
        <rFont val="Arial CE"/>
        <charset val="238"/>
      </rPr>
      <t>(OM)</t>
    </r>
  </si>
  <si>
    <t>0,12 / ks</t>
  </si>
  <si>
    <r>
      <t>Ost</t>
    </r>
    <r>
      <rPr>
        <b/>
        <vertAlign val="subscript"/>
        <sz val="11"/>
        <rFont val="Arial CE"/>
        <charset val="238"/>
      </rPr>
      <t>1</t>
    </r>
  </si>
  <si>
    <r>
      <t xml:space="preserve">násada 6 - 11 cm (zadajte veľkosť)  </t>
    </r>
    <r>
      <rPr>
        <b/>
        <sz val="11"/>
        <rFont val="Arial CE"/>
        <charset val="238"/>
      </rPr>
      <t>(OM)</t>
    </r>
  </si>
  <si>
    <t>0,026 / 1 cm</t>
  </si>
  <si>
    <t>september - október</t>
  </si>
  <si>
    <r>
      <t>Ost</t>
    </r>
    <r>
      <rPr>
        <b/>
        <vertAlign val="subscript"/>
        <sz val="11"/>
        <rFont val="Cambria"/>
        <family val="1"/>
        <charset val="238"/>
      </rPr>
      <t>1#</t>
    </r>
  </si>
  <si>
    <r>
      <t xml:space="preserve">násada nad 11 cm (zadajte veľkosť)  </t>
    </r>
    <r>
      <rPr>
        <b/>
        <sz val="11"/>
        <rFont val="Arial CE"/>
        <charset val="238"/>
      </rPr>
      <t>(OM)</t>
    </r>
  </si>
  <si>
    <t>0,033 / 1 cm</t>
  </si>
  <si>
    <r>
      <t>Ost</t>
    </r>
    <r>
      <rPr>
        <b/>
        <vertAlign val="subscript"/>
        <sz val="11"/>
        <rFont val="Cambria"/>
        <family val="1"/>
        <charset val="238"/>
      </rPr>
      <t>2#</t>
    </r>
  </si>
  <si>
    <r>
      <t xml:space="preserve">násada dvojročná </t>
    </r>
    <r>
      <rPr>
        <b/>
        <sz val="11"/>
        <rFont val="Arial CE"/>
        <charset val="238"/>
      </rPr>
      <t xml:space="preserve"> (OM)</t>
    </r>
  </si>
  <si>
    <t>13,00 / 1kg</t>
  </si>
  <si>
    <t>OSTATNÉ KAPROVITÉ RYBY</t>
  </si>
  <si>
    <t>Osk</t>
  </si>
  <si>
    <t>násada jednoročná a staršia</t>
  </si>
  <si>
    <t>1,10 / 1kg</t>
  </si>
  <si>
    <t>SUMEC VEĽKÝ</t>
  </si>
  <si>
    <r>
      <t>Su</t>
    </r>
    <r>
      <rPr>
        <b/>
        <vertAlign val="subscript"/>
        <sz val="11"/>
        <rFont val="Arial"/>
        <family val="2"/>
        <charset val="238"/>
      </rPr>
      <t>o</t>
    </r>
  </si>
  <si>
    <t>2,60 / 1000 ks</t>
  </si>
  <si>
    <r>
      <t>Su</t>
    </r>
    <r>
      <rPr>
        <b/>
        <vertAlign val="subscript"/>
        <sz val="11"/>
        <rFont val="Arial"/>
        <family val="2"/>
        <charset val="238"/>
      </rPr>
      <t>r</t>
    </r>
  </si>
  <si>
    <t>plôdik rýchlený do 3 cm</t>
  </si>
  <si>
    <t>66,00/ 1000 ks</t>
  </si>
  <si>
    <r>
      <t>Su</t>
    </r>
    <r>
      <rPr>
        <vertAlign val="subscript"/>
        <sz val="11"/>
        <rFont val="Arial"/>
        <family val="2"/>
        <charset val="238"/>
      </rPr>
      <t>1</t>
    </r>
  </si>
  <si>
    <t>jednoročná násada 3 -10cm (zadajte veľkosť)</t>
  </si>
  <si>
    <t>0,040 / 1 cm</t>
  </si>
  <si>
    <t>jún- august</t>
  </si>
  <si>
    <r>
      <t>Su</t>
    </r>
    <r>
      <rPr>
        <b/>
        <vertAlign val="subscript"/>
        <sz val="11"/>
        <rFont val="Arial"/>
        <family val="2"/>
        <charset val="238"/>
      </rPr>
      <t>1+</t>
    </r>
  </si>
  <si>
    <t xml:space="preserve">jednoročná násada nad 10cm </t>
  </si>
  <si>
    <t>0,44 / ks</t>
  </si>
  <si>
    <t>júl - august</t>
  </si>
  <si>
    <r>
      <t>Su</t>
    </r>
    <r>
      <rPr>
        <b/>
        <vertAlign val="subscript"/>
        <sz val="11"/>
        <rFont val="Arial"/>
        <family val="2"/>
        <charset val="238"/>
      </rPr>
      <t>2-3</t>
    </r>
  </si>
  <si>
    <t>JESETER MALÝ</t>
  </si>
  <si>
    <r>
      <t>Je</t>
    </r>
    <r>
      <rPr>
        <b/>
        <vertAlign val="subscript"/>
        <sz val="11"/>
        <rFont val="Arial"/>
        <family val="2"/>
        <charset val="238"/>
      </rPr>
      <t>r</t>
    </r>
  </si>
  <si>
    <t>plôdik rýchlený 3 - 5 cm</t>
  </si>
  <si>
    <t>0,55 / ks</t>
  </si>
  <si>
    <t>jún - júl</t>
  </si>
  <si>
    <r>
      <t>Je</t>
    </r>
    <r>
      <rPr>
        <b/>
        <vertAlign val="subscript"/>
        <sz val="11"/>
        <rFont val="Arial"/>
        <family val="2"/>
        <charset val="238"/>
      </rPr>
      <t>1</t>
    </r>
  </si>
  <si>
    <t>jednoročná násada 5 - 10 cm (zadajte veľkosť)</t>
  </si>
  <si>
    <t>0,11 / ks</t>
  </si>
  <si>
    <t>jún - august</t>
  </si>
  <si>
    <r>
      <t>Je</t>
    </r>
    <r>
      <rPr>
        <b/>
        <vertAlign val="subscript"/>
        <sz val="11"/>
        <rFont val="Arial"/>
        <family val="2"/>
        <charset val="238"/>
      </rPr>
      <t>1+</t>
    </r>
  </si>
  <si>
    <t>jednoročná násada nad 10 cm (zadajte veľkosť)</t>
  </si>
  <si>
    <t>0,12 / 1cm</t>
  </si>
  <si>
    <t>PODUSTVA SEVERNÁ</t>
  </si>
  <si>
    <r>
      <t>Pds</t>
    </r>
    <r>
      <rPr>
        <b/>
        <vertAlign val="subscript"/>
        <sz val="11"/>
        <rFont val="Arial"/>
        <family val="2"/>
        <charset val="238"/>
      </rPr>
      <t>1</t>
    </r>
  </si>
  <si>
    <t>násada jednoročná 5 - 11 cm (zadajte veľkosť)</t>
  </si>
  <si>
    <t>0,016 / 1cm</t>
  </si>
  <si>
    <r>
      <t>Pds</t>
    </r>
    <r>
      <rPr>
        <b/>
        <vertAlign val="subscript"/>
        <sz val="11"/>
        <rFont val="Arial"/>
        <family val="2"/>
        <charset val="238"/>
      </rPr>
      <t>2</t>
    </r>
  </si>
  <si>
    <t>násada dvojročná 11 - 13 cm (zadajte veľkosť)</t>
  </si>
  <si>
    <t>0,018 / 1cm</t>
  </si>
  <si>
    <t>násada dvojročná nad 13 cm (zadajte veľkosť)</t>
  </si>
  <si>
    <t>0,027 / 1cm</t>
  </si>
  <si>
    <t>MRENA SEVERNÁ</t>
  </si>
  <si>
    <r>
      <t>Mrs</t>
    </r>
    <r>
      <rPr>
        <b/>
        <vertAlign val="subscript"/>
        <sz val="11"/>
        <rFont val="Arial"/>
        <family val="2"/>
        <charset val="238"/>
      </rPr>
      <t>1</t>
    </r>
  </si>
  <si>
    <t>násada jednoročná nad 4 cm (zadajte veľkosť)</t>
  </si>
  <si>
    <t>JALEC HLAVATÝ</t>
  </si>
  <si>
    <r>
      <t>Jh</t>
    </r>
    <r>
      <rPr>
        <b/>
        <vertAlign val="subscript"/>
        <sz val="11"/>
        <rFont val="Arial"/>
        <family val="2"/>
        <charset val="238"/>
      </rPr>
      <t>1</t>
    </r>
  </si>
  <si>
    <t>NOSÁĽ SŤAHOVAVÝ</t>
  </si>
  <si>
    <r>
      <t>No</t>
    </r>
    <r>
      <rPr>
        <b/>
        <vertAlign val="subscript"/>
        <sz val="11"/>
        <rFont val="Arial"/>
        <family val="2"/>
        <charset val="238"/>
      </rPr>
      <t>1</t>
    </r>
  </si>
  <si>
    <t>násada jednoročná nad 6 cm (zadajte veľkosť)</t>
  </si>
  <si>
    <t>PSTRUH POTOČNÝ</t>
  </si>
  <si>
    <t>Ppi</t>
  </si>
  <si>
    <t>ikry v očných bodoch</t>
  </si>
  <si>
    <t>december - január</t>
  </si>
  <si>
    <r>
      <t>Pp</t>
    </r>
    <r>
      <rPr>
        <b/>
        <vertAlign val="subscript"/>
        <sz val="11"/>
        <rFont val="Arial"/>
        <family val="2"/>
        <charset val="238"/>
      </rPr>
      <t>o</t>
    </r>
    <r>
      <rPr>
        <b/>
        <sz val="11"/>
        <rFont val="Arial"/>
        <family val="2"/>
        <charset val="238"/>
      </rPr>
      <t xml:space="preserve"> </t>
    </r>
  </si>
  <si>
    <t>január - február</t>
  </si>
  <si>
    <r>
      <t>Pp</t>
    </r>
    <r>
      <rPr>
        <b/>
        <vertAlign val="subscript"/>
        <sz val="11"/>
        <rFont val="Arial"/>
        <family val="2"/>
        <charset val="238"/>
      </rPr>
      <t>r</t>
    </r>
    <r>
      <rPr>
        <b/>
        <sz val="11"/>
        <rFont val="Arial"/>
        <family val="2"/>
        <charset val="238"/>
      </rPr>
      <t xml:space="preserve"> </t>
    </r>
  </si>
  <si>
    <t xml:space="preserve">rýchlený plôdik 3 - 5 cm (zadajte veľkosť)  </t>
  </si>
  <si>
    <t>0,016 / 1 cm</t>
  </si>
  <si>
    <r>
      <t>Pp</t>
    </r>
    <r>
      <rPr>
        <b/>
        <vertAlign val="subscript"/>
        <sz val="11"/>
        <rFont val="Arial"/>
        <family val="2"/>
        <charset val="238"/>
      </rPr>
      <t>1</t>
    </r>
    <r>
      <rPr>
        <sz val="11"/>
        <color indexed="8"/>
        <rFont val="Calibri"/>
        <family val="2"/>
        <charset val="238"/>
      </rPr>
      <t/>
    </r>
  </si>
  <si>
    <t xml:space="preserve">násada jednoročná 6 - 10 cm (zadajte veľkosť)  </t>
  </si>
  <si>
    <t>0,017 / 1 cm</t>
  </si>
  <si>
    <r>
      <t>Pp</t>
    </r>
    <r>
      <rPr>
        <b/>
        <vertAlign val="subscript"/>
        <sz val="11"/>
        <rFont val="Arial"/>
        <family val="2"/>
        <charset val="238"/>
      </rPr>
      <t>1+</t>
    </r>
  </si>
  <si>
    <t>násada jednoročná nad 12 cm na jar  (zadajte veľkosť)</t>
  </si>
  <si>
    <t>apríl - jún</t>
  </si>
  <si>
    <r>
      <t>Pp</t>
    </r>
    <r>
      <rPr>
        <b/>
        <vertAlign val="subscript"/>
        <sz val="11"/>
        <rFont val="Arial"/>
        <family val="2"/>
        <charset val="238"/>
      </rPr>
      <t>2</t>
    </r>
  </si>
  <si>
    <r>
      <t>násada dvojročná</t>
    </r>
    <r>
      <rPr>
        <b/>
        <sz val="11"/>
        <color indexed="10"/>
        <rFont val="Arial"/>
        <family val="2"/>
        <charset val="238"/>
      </rPr>
      <t xml:space="preserve"> </t>
    </r>
  </si>
  <si>
    <t>celoročne</t>
  </si>
  <si>
    <t>PSTRUH DUHOVÝ</t>
  </si>
  <si>
    <r>
      <t>Pd</t>
    </r>
    <r>
      <rPr>
        <b/>
        <vertAlign val="subscript"/>
        <sz val="11"/>
        <rFont val="Arial"/>
        <family val="2"/>
        <charset val="238"/>
      </rPr>
      <t>o</t>
    </r>
  </si>
  <si>
    <t>január - marec</t>
  </si>
  <si>
    <r>
      <t>Pd</t>
    </r>
    <r>
      <rPr>
        <b/>
        <vertAlign val="subscript"/>
        <sz val="11"/>
        <rFont val="Arial"/>
        <family val="2"/>
        <charset val="238"/>
      </rPr>
      <t>r</t>
    </r>
  </si>
  <si>
    <t>plôdik rýchlený 3 -5 cm (zadajte veľkosť)</t>
  </si>
  <si>
    <t>február - máj</t>
  </si>
  <si>
    <r>
      <t>Pd</t>
    </r>
    <r>
      <rPr>
        <b/>
        <vertAlign val="subscript"/>
        <sz val="11"/>
        <rFont val="Arial"/>
        <family val="2"/>
        <charset val="238"/>
      </rPr>
      <t>1</t>
    </r>
  </si>
  <si>
    <t>násada jednoročná 5 - 13 cm (zadajte veľkosť)</t>
  </si>
  <si>
    <t>máj - september</t>
  </si>
  <si>
    <t>násada jednoročná 13 - 18 cm</t>
  </si>
  <si>
    <r>
      <t>Pd</t>
    </r>
    <r>
      <rPr>
        <b/>
        <vertAlign val="subscript"/>
        <sz val="11"/>
        <rFont val="Arial"/>
        <family val="2"/>
        <charset val="238"/>
      </rPr>
      <t>1+</t>
    </r>
  </si>
  <si>
    <t>násada jednoročná 18 - 24 cm</t>
  </si>
  <si>
    <r>
      <t>Pd</t>
    </r>
    <r>
      <rPr>
        <b/>
        <vertAlign val="subscript"/>
        <sz val="11"/>
        <rFont val="Arial"/>
        <family val="2"/>
        <charset val="238"/>
      </rPr>
      <t>2</t>
    </r>
  </si>
  <si>
    <r>
      <t>Pd</t>
    </r>
    <r>
      <rPr>
        <b/>
        <vertAlign val="subscript"/>
        <sz val="11"/>
        <rFont val="Arial"/>
        <family val="2"/>
        <charset val="238"/>
      </rPr>
      <t>2+</t>
    </r>
  </si>
  <si>
    <t>násada dvojročná a staršia (nad 0,5kg)</t>
  </si>
  <si>
    <t>HLAVÁTKA PODUNAJSKÁ</t>
  </si>
  <si>
    <r>
      <t>H</t>
    </r>
    <r>
      <rPr>
        <b/>
        <vertAlign val="subscript"/>
        <sz val="11"/>
        <rFont val="Arial"/>
        <family val="2"/>
        <charset val="238"/>
      </rPr>
      <t>r</t>
    </r>
  </si>
  <si>
    <t>plôdik rychlený od 3 - 5 cm</t>
  </si>
  <si>
    <t>0,18 / ks</t>
  </si>
  <si>
    <t>máj</t>
  </si>
  <si>
    <r>
      <t>H</t>
    </r>
    <r>
      <rPr>
        <b/>
        <vertAlign val="subscript"/>
        <sz val="11"/>
        <rFont val="Arial"/>
        <family val="2"/>
        <charset val="238"/>
      </rPr>
      <t>1</t>
    </r>
  </si>
  <si>
    <t xml:space="preserve">násada jednoročná 5 - 10 cm  (zadajte veľkosť)  </t>
  </si>
  <si>
    <t>máj - august</t>
  </si>
  <si>
    <r>
      <t>H</t>
    </r>
    <r>
      <rPr>
        <b/>
        <vertAlign val="subscript"/>
        <sz val="11"/>
        <rFont val="Arial"/>
        <family val="2"/>
        <charset val="238"/>
      </rPr>
      <t>1+</t>
    </r>
  </si>
  <si>
    <t xml:space="preserve">násada jednoročná nad 10 cm  (zadajte veľkosť)  </t>
  </si>
  <si>
    <t>september</t>
  </si>
  <si>
    <r>
      <t>H</t>
    </r>
    <r>
      <rPr>
        <b/>
        <vertAlign val="subscript"/>
        <sz val="11"/>
        <rFont val="Arial"/>
        <family val="2"/>
        <charset val="238"/>
      </rPr>
      <t>2</t>
    </r>
  </si>
  <si>
    <t xml:space="preserve">násada dvojročná a staršia </t>
  </si>
  <si>
    <t>LIPEŇ TYMIANOVÝ</t>
  </si>
  <si>
    <r>
      <t>Li</t>
    </r>
    <r>
      <rPr>
        <b/>
        <vertAlign val="subscript"/>
        <sz val="11"/>
        <rFont val="Arial"/>
        <family val="2"/>
        <charset val="238"/>
      </rPr>
      <t>r</t>
    </r>
  </si>
  <si>
    <t xml:space="preserve">plôdik rychlený od 3 - 5 cm  (zadajte veľkosť) </t>
  </si>
  <si>
    <t>0,06 / 1cm</t>
  </si>
  <si>
    <r>
      <t>Li</t>
    </r>
    <r>
      <rPr>
        <b/>
        <vertAlign val="subscript"/>
        <sz val="11"/>
        <rFont val="Arial"/>
        <family val="2"/>
        <charset val="238"/>
      </rPr>
      <t>1</t>
    </r>
  </si>
  <si>
    <t xml:space="preserve">násada jednoročná nad 5 cm na jeseň  (zadajte veľkosť) </t>
  </si>
  <si>
    <r>
      <t>Li</t>
    </r>
    <r>
      <rPr>
        <b/>
        <vertAlign val="subscript"/>
        <sz val="11"/>
        <rFont val="Arial"/>
        <family val="2"/>
        <charset val="238"/>
      </rPr>
      <t>1+</t>
    </r>
  </si>
  <si>
    <t xml:space="preserve">násada jednoročná nad 10 cm na jar (zadajte veľkosť) </t>
  </si>
  <si>
    <t>0,047 / 1cm</t>
  </si>
  <si>
    <t>apríl-máj</t>
  </si>
  <si>
    <r>
      <t>Li</t>
    </r>
    <r>
      <rPr>
        <b/>
        <vertAlign val="subscript"/>
        <sz val="11"/>
        <rFont val="Arial"/>
        <family val="2"/>
        <charset val="238"/>
      </rPr>
      <t>2</t>
    </r>
  </si>
  <si>
    <t>násada dvojročná na jeseň</t>
  </si>
  <si>
    <t>19,10 / 1kg</t>
  </si>
  <si>
    <r>
      <t>Li</t>
    </r>
    <r>
      <rPr>
        <b/>
        <vertAlign val="subscript"/>
        <sz val="11"/>
        <rFont val="Arial"/>
        <family val="2"/>
        <charset val="238"/>
      </rPr>
      <t>2+</t>
    </r>
  </si>
  <si>
    <t>násada dvojročná na jar</t>
  </si>
  <si>
    <t>20,50 / 1kg</t>
  </si>
  <si>
    <t>ČEREBĽA PESTRÁ</t>
  </si>
  <si>
    <r>
      <t>Čr</t>
    </r>
    <r>
      <rPr>
        <b/>
        <sz val="8"/>
        <rFont val="Arial"/>
        <family val="2"/>
        <charset val="238"/>
      </rPr>
      <t>1</t>
    </r>
  </si>
  <si>
    <t>násada jednoročná nad 4cm (zadajte veľkosť)</t>
  </si>
  <si>
    <t>0,035 / 1cm</t>
  </si>
  <si>
    <t>ÚHOR EURÓPSKY</t>
  </si>
  <si>
    <t>Úmr#</t>
  </si>
  <si>
    <t>monté rozkrmené (12 - 20cm )</t>
  </si>
  <si>
    <r>
      <rPr>
        <u/>
        <sz val="11"/>
        <rFont val="Arial"/>
        <family val="2"/>
        <charset val="238"/>
      </rPr>
      <t>Vysvetlivky</t>
    </r>
    <r>
      <rPr>
        <sz val="11"/>
        <rFont val="Arial"/>
        <family val="2"/>
        <charset val="238"/>
      </rPr>
      <t xml:space="preserve">: </t>
    </r>
    <r>
      <rPr>
        <b/>
        <sz val="11"/>
        <rFont val="Arial"/>
        <family val="2"/>
        <charset val="238"/>
      </rPr>
      <t>OM</t>
    </r>
    <r>
      <rPr>
        <sz val="11"/>
        <rFont val="Arial"/>
        <family val="2"/>
        <charset val="238"/>
      </rPr>
      <t xml:space="preserve"> - obmedzené množstvo</t>
    </r>
  </si>
  <si>
    <t>Dňa:</t>
  </si>
  <si>
    <t xml:space="preserve">vyplnil (rybársky hospodár ZO SRZ): </t>
  </si>
  <si>
    <t>kontakt na RH:</t>
  </si>
  <si>
    <t>vyroba@srzrada.sk</t>
  </si>
  <si>
    <t>Ceny násadových rýb sú pre ZO SRZ konečné, t.j. vrátane dopravy a DPH.</t>
  </si>
  <si>
    <t>3,55 / 1kg</t>
  </si>
  <si>
    <t>6,50 / 1kg</t>
  </si>
  <si>
    <t>0,045 / 1 cm</t>
  </si>
  <si>
    <t>0,030  / 1 cm</t>
  </si>
  <si>
    <t>0,030 / 1 cm</t>
  </si>
  <si>
    <t>násada dvojročná</t>
  </si>
  <si>
    <t>MIEŇ SLADKOVODNÝ</t>
  </si>
  <si>
    <t>násada jednoročná nad 5cm (zadajte veľkosť)</t>
  </si>
  <si>
    <t>0,066 / 1cm</t>
  </si>
  <si>
    <t>BOLEŇ DRAVÝ</t>
  </si>
  <si>
    <r>
      <t>M</t>
    </r>
    <r>
      <rPr>
        <b/>
        <sz val="8"/>
        <rFont val="Arial"/>
        <family val="2"/>
        <charset val="238"/>
      </rPr>
      <t>1</t>
    </r>
    <r>
      <rPr>
        <b/>
        <sz val="11"/>
        <rFont val="Arial"/>
        <family val="2"/>
        <charset val="238"/>
      </rPr>
      <t xml:space="preserve"> #</t>
    </r>
  </si>
  <si>
    <r>
      <t>Bo</t>
    </r>
    <r>
      <rPr>
        <b/>
        <sz val="8"/>
        <rFont val="Arial"/>
        <family val="2"/>
        <charset val="238"/>
      </rPr>
      <t>1</t>
    </r>
    <r>
      <rPr>
        <b/>
        <sz val="11"/>
        <rFont val="Arial"/>
        <family val="2"/>
        <charset val="238"/>
      </rPr>
      <t xml:space="preserve"> #</t>
    </r>
  </si>
  <si>
    <t xml:space="preserve">SLÍŽ OBYČAJNÝ </t>
  </si>
  <si>
    <r>
      <t>Sl</t>
    </r>
    <r>
      <rPr>
        <b/>
        <sz val="8"/>
        <rFont val="Arial"/>
        <family val="2"/>
        <charset val="238"/>
      </rPr>
      <t>1</t>
    </r>
  </si>
  <si>
    <r>
      <t xml:space="preserve">pre </t>
    </r>
    <r>
      <rPr>
        <b/>
        <sz val="22"/>
        <rFont val="Arial"/>
        <family val="2"/>
        <charset val="238"/>
      </rPr>
      <t xml:space="preserve">ZO SRZ </t>
    </r>
    <r>
      <rPr>
        <b/>
        <sz val="18"/>
        <rFont val="Arial"/>
        <family val="2"/>
        <charset val="238"/>
      </rPr>
      <t xml:space="preserve">na rok </t>
    </r>
    <r>
      <rPr>
        <b/>
        <sz val="24"/>
        <rFont val="Arial"/>
        <family val="2"/>
        <charset val="238"/>
      </rPr>
      <t>2026</t>
    </r>
  </si>
  <si>
    <t>násada 2-ročná  100 - 1000g</t>
  </si>
  <si>
    <r>
      <t>násada viac - ročná jar jeseň (5-10kg)</t>
    </r>
    <r>
      <rPr>
        <sz val="11"/>
        <color indexed="10"/>
        <rFont val="Arial"/>
        <family val="2"/>
        <charset val="238"/>
      </rPr>
      <t xml:space="preserve"> </t>
    </r>
  </si>
  <si>
    <t>4,00 / 1000 ks</t>
  </si>
  <si>
    <t>plôdik rychlený  od 2,5 - 5 cm</t>
  </si>
  <si>
    <r>
      <t>Š</t>
    </r>
    <r>
      <rPr>
        <b/>
        <vertAlign val="subscript"/>
        <sz val="11"/>
        <rFont val="Arial"/>
        <family val="2"/>
        <charset val="238"/>
      </rPr>
      <t>1-2</t>
    </r>
  </si>
  <si>
    <t>plôdik rychlený 3 -6 cm</t>
  </si>
  <si>
    <t xml:space="preserve">0,160 / ks </t>
  </si>
  <si>
    <t>0,160 / ks</t>
  </si>
  <si>
    <t>násada nad 10 cm (zadajte veľkosť)</t>
  </si>
  <si>
    <t>0,035 / 1 cm</t>
  </si>
  <si>
    <t>19,90/ 1 kg</t>
  </si>
  <si>
    <t>3,55/kg</t>
  </si>
  <si>
    <t>8,50 / 1kg</t>
  </si>
  <si>
    <t>JALEC MALOÚSTY (PRÚDNIK)</t>
  </si>
  <si>
    <r>
      <t>Jm</t>
    </r>
    <r>
      <rPr>
        <b/>
        <vertAlign val="subscript"/>
        <sz val="11"/>
        <rFont val="Arial"/>
        <family val="2"/>
        <charset val="238"/>
      </rPr>
      <t>1</t>
    </r>
  </si>
  <si>
    <t>0,035  / 1 cm</t>
  </si>
  <si>
    <t>15,00 / 1000 ks</t>
  </si>
  <si>
    <t>20,00 / 1000 ks</t>
  </si>
  <si>
    <t>0,020 / 1 cm</t>
  </si>
  <si>
    <t>0,039 / 1cm</t>
  </si>
  <si>
    <t>11,50 / 1kg</t>
  </si>
  <si>
    <t>12,00 / 1000 ks</t>
  </si>
  <si>
    <t>0,013 / 1 cm</t>
  </si>
  <si>
    <t>8,00 / 1kg</t>
  </si>
  <si>
    <t>7,00 / 1kg</t>
  </si>
  <si>
    <t>4,99 / 1kg</t>
  </si>
  <si>
    <t>5,55 / 1kg</t>
  </si>
  <si>
    <t>0,037 / 1 cm</t>
  </si>
  <si>
    <t>20,50/ kg</t>
  </si>
  <si>
    <t>0,045 / 1cm</t>
  </si>
  <si>
    <r>
      <rPr>
        <sz val="11"/>
        <rFont val="Calibri"/>
        <family val="2"/>
        <charset val="238"/>
      </rPr>
      <t xml:space="preserve">      </t>
    </r>
    <r>
      <rPr>
        <b/>
        <sz val="11"/>
        <rFont val="Calibri"/>
        <family val="2"/>
        <charset val="238"/>
      </rPr>
      <t xml:space="preserve">   </t>
    </r>
    <r>
      <rPr>
        <b/>
        <sz val="14"/>
        <rFont val="Calibri"/>
        <family val="2"/>
        <charset val="238"/>
      </rPr>
      <t xml:space="preserve"> #</t>
    </r>
    <r>
      <rPr>
        <sz val="11"/>
        <rFont val="Arial"/>
        <family val="2"/>
        <charset val="238"/>
      </rPr>
      <t xml:space="preserve"> - násady označené týmto symbolom nebudú v roku 2026 produkované na strediskách SRZ-Rada</t>
    </r>
  </si>
  <si>
    <r>
      <t xml:space="preserve">Objednávku žiadame zaslať späť najneskôr </t>
    </r>
    <r>
      <rPr>
        <sz val="14"/>
        <color indexed="10"/>
        <rFont val="Arial"/>
        <family val="2"/>
        <charset val="238"/>
      </rPr>
      <t>do 28. februára 2026</t>
    </r>
    <r>
      <rPr>
        <sz val="14"/>
        <rFont val="Arial"/>
        <family val="2"/>
        <charset val="238"/>
      </rPr>
      <t xml:space="preserve"> e-mailom na adresu :</t>
    </r>
  </si>
  <si>
    <t>Termín dodania násad   v r. 2026</t>
  </si>
  <si>
    <t>jar 2026 / jeseň 2026</t>
  </si>
  <si>
    <t>júl - október</t>
  </si>
  <si>
    <t>podľa aktuálnej ceny (cca 1€/ks)</t>
  </si>
  <si>
    <r>
      <t xml:space="preserve">Objednávka celkom  € </t>
    </r>
    <r>
      <rPr>
        <b/>
        <sz val="11"/>
        <rFont val="Arial"/>
        <family val="2"/>
        <charset val="238"/>
      </rPr>
      <t xml:space="preserve"> (v sume je zahrnutá predbežná cena násady rozkrmeného úhora)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</si>
</sst>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7" x14ac:knownFonts="1">
    <font>
      <sz val="11"/>
      <color theme="1"/>
      <name val="Calibri"/>
      <family val="2"/>
      <scheme val="minor"/>
    </font>
    <font>
      <b/>
      <sz val="25"/>
      <name val="Arial"/>
      <family val="2"/>
      <charset val="238"/>
    </font>
    <font>
      <sz val="10"/>
      <name val="Arial"/>
      <family val="2"/>
      <charset val="238"/>
    </font>
    <font>
      <b/>
      <sz val="18"/>
      <name val="Arial"/>
      <family val="2"/>
      <charset val="238"/>
    </font>
    <font>
      <b/>
      <sz val="22"/>
      <name val="Arial"/>
      <family val="2"/>
      <charset val="238"/>
    </font>
    <font>
      <b/>
      <sz val="24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1"/>
      <name val="Arial"/>
      <family val="2"/>
      <charset val="238"/>
    </font>
    <font>
      <b/>
      <vertAlign val="subscript"/>
      <sz val="11"/>
      <name val="Arial"/>
      <family val="2"/>
      <charset val="238"/>
    </font>
    <font>
      <sz val="11"/>
      <name val="Arial"/>
      <family val="2"/>
      <charset val="238"/>
    </font>
    <font>
      <sz val="11"/>
      <color indexed="10"/>
      <name val="Arial"/>
      <family val="2"/>
      <charset val="238"/>
    </font>
    <font>
      <b/>
      <sz val="10"/>
      <name val="Arial"/>
      <family val="2"/>
      <charset val="238"/>
    </font>
    <font>
      <vertAlign val="subscript"/>
      <sz val="11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14"/>
      <name val="Arial"/>
      <family val="2"/>
      <charset val="238"/>
    </font>
    <font>
      <u/>
      <sz val="11"/>
      <name val="Arial"/>
      <family val="2"/>
      <charset val="238"/>
    </font>
    <font>
      <sz val="11"/>
      <name val="Calibri"/>
      <family val="2"/>
      <charset val="238"/>
    </font>
    <font>
      <b/>
      <sz val="14"/>
      <name val="Calibri"/>
      <family val="2"/>
      <charset val="238"/>
    </font>
    <font>
      <sz val="12"/>
      <name val="Arial"/>
      <family val="2"/>
      <charset val="238"/>
    </font>
    <font>
      <sz val="14"/>
      <color indexed="10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11"/>
      <name val="Arial CE"/>
      <charset val="238"/>
    </font>
    <font>
      <b/>
      <vertAlign val="subscript"/>
      <sz val="11"/>
      <name val="Arial CE"/>
      <charset val="238"/>
    </font>
    <font>
      <sz val="11"/>
      <name val="Arial CE"/>
      <family val="2"/>
      <charset val="238"/>
    </font>
    <font>
      <b/>
      <vertAlign val="subscript"/>
      <sz val="11"/>
      <name val="Cambria"/>
      <family val="1"/>
      <charset val="238"/>
    </font>
    <font>
      <u/>
      <sz val="10"/>
      <color theme="10"/>
      <name val="Arial"/>
      <family val="2"/>
      <charset val="238"/>
    </font>
    <font>
      <b/>
      <sz val="11"/>
      <color rgb="FF009900"/>
      <name val="Arial"/>
      <family val="2"/>
      <charset val="238"/>
    </font>
    <font>
      <b/>
      <sz val="11"/>
      <color rgb="FF238D26"/>
      <name val="Arial"/>
      <family val="2"/>
      <charset val="238"/>
    </font>
    <font>
      <sz val="10"/>
      <color rgb="FFFF0000"/>
      <name val="Arial"/>
      <family val="2"/>
      <charset val="238"/>
    </font>
    <font>
      <b/>
      <vertAlign val="subscript"/>
      <sz val="12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theme="1"/>
      <name val="Arial"/>
      <family val="2"/>
      <charset val="238"/>
    </font>
    <font>
      <u/>
      <sz val="18"/>
      <color theme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7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</borders>
  <cellStyleXfs count="2">
    <xf numFmtId="0" fontId="0" fillId="0" borderId="0"/>
    <xf numFmtId="0" fontId="29" fillId="0" borderId="0" applyNumberFormat="0" applyFill="0" applyBorder="0" applyAlignment="0" applyProtection="0"/>
  </cellStyleXfs>
  <cellXfs count="152">
    <xf numFmtId="0" fontId="0" fillId="0" borderId="0" xfId="0"/>
    <xf numFmtId="0" fontId="2" fillId="0" borderId="0" xfId="0" applyFont="1"/>
    <xf numFmtId="0" fontId="12" fillId="0" borderId="1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1" fontId="12" fillId="3" borderId="1" xfId="0" applyNumberFormat="1" applyFont="1" applyFill="1" applyBorder="1" applyAlignment="1" applyProtection="1">
      <alignment horizontal="center" vertical="center"/>
      <protection locked="0"/>
    </xf>
    <xf numFmtId="1" fontId="12" fillId="3" borderId="2" xfId="0" applyNumberFormat="1" applyFont="1" applyFill="1" applyBorder="1" applyAlignment="1" applyProtection="1">
      <alignment horizontal="center" vertical="center"/>
      <protection locked="0"/>
    </xf>
    <xf numFmtId="1" fontId="12" fillId="3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/>
    <xf numFmtId="0" fontId="10" fillId="0" borderId="6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164" fontId="12" fillId="0" borderId="1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164" fontId="12" fillId="0" borderId="10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vertical="center"/>
    </xf>
    <xf numFmtId="1" fontId="12" fillId="0" borderId="1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" fontId="12" fillId="0" borderId="10" xfId="0" applyNumberFormat="1" applyFont="1" applyBorder="1" applyAlignment="1">
      <alignment horizontal="center" vertical="center"/>
    </xf>
    <xf numFmtId="0" fontId="12" fillId="0" borderId="12" xfId="0" applyFont="1" applyBorder="1" applyAlignment="1">
      <alignment vertical="center"/>
    </xf>
    <xf numFmtId="2" fontId="12" fillId="0" borderId="1" xfId="0" applyNumberFormat="1" applyFont="1" applyBorder="1" applyAlignment="1">
      <alignment horizontal="center" vertical="center"/>
    </xf>
    <xf numFmtId="1" fontId="12" fillId="0" borderId="13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0" xfId="0" applyFont="1"/>
    <xf numFmtId="0" fontId="22" fillId="0" borderId="14" xfId="0" applyFont="1" applyBorder="1"/>
    <xf numFmtId="0" fontId="22" fillId="0" borderId="6" xfId="0" applyFont="1" applyBorder="1" applyAlignment="1">
      <alignment horizontal="left"/>
    </xf>
    <xf numFmtId="0" fontId="22" fillId="0" borderId="7" xfId="0" applyFont="1" applyBorder="1" applyAlignment="1">
      <alignment horizontal="left"/>
    </xf>
    <xf numFmtId="0" fontId="18" fillId="0" borderId="0" xfId="0" applyFont="1"/>
    <xf numFmtId="0" fontId="6" fillId="0" borderId="0" xfId="0" applyFont="1"/>
    <xf numFmtId="0" fontId="12" fillId="0" borderId="3" xfId="0" applyFont="1" applyBorder="1" applyAlignment="1">
      <alignment vertical="center"/>
    </xf>
    <xf numFmtId="0" fontId="25" fillId="0" borderId="6" xfId="0" applyFont="1" applyBorder="1"/>
    <xf numFmtId="0" fontId="27" fillId="0" borderId="3" xfId="0" applyFont="1" applyBorder="1" applyAlignment="1">
      <alignment vertical="center"/>
    </xf>
    <xf numFmtId="164" fontId="12" fillId="0" borderId="1" xfId="0" applyNumberFormat="1" applyFont="1" applyBorder="1" applyAlignment="1">
      <alignment horizontal="center"/>
    </xf>
    <xf numFmtId="1" fontId="12" fillId="0" borderId="18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vertical="center"/>
    </xf>
    <xf numFmtId="164" fontId="12" fillId="0" borderId="18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0" fillId="0" borderId="21" xfId="0" applyFont="1" applyBorder="1" applyAlignment="1">
      <alignment vertical="center"/>
    </xf>
    <xf numFmtId="0" fontId="30" fillId="0" borderId="22" xfId="0" applyFont="1" applyBorder="1" applyAlignment="1">
      <alignment vertical="center"/>
    </xf>
    <xf numFmtId="0" fontId="30" fillId="0" borderId="23" xfId="0" applyFont="1" applyBorder="1" applyAlignment="1">
      <alignment vertical="center"/>
    </xf>
    <xf numFmtId="0" fontId="30" fillId="0" borderId="23" xfId="0" applyFont="1" applyBorder="1" applyAlignment="1" applyProtection="1">
      <alignment vertical="center"/>
      <protection locked="0"/>
    </xf>
    <xf numFmtId="0" fontId="10" fillId="0" borderId="24" xfId="0" applyFont="1" applyBorder="1" applyAlignment="1">
      <alignment vertical="center"/>
    </xf>
    <xf numFmtId="0" fontId="30" fillId="0" borderId="25" xfId="0" applyFont="1" applyBorder="1" applyAlignment="1">
      <alignment vertical="center"/>
    </xf>
    <xf numFmtId="0" fontId="10" fillId="0" borderId="24" xfId="0" applyFont="1" applyBorder="1" applyAlignment="1">
      <alignment horizontal="left" vertical="center"/>
    </xf>
    <xf numFmtId="0" fontId="12" fillId="0" borderId="19" xfId="0" applyFont="1" applyBorder="1" applyAlignment="1">
      <alignment horizontal="center" vertical="center"/>
    </xf>
    <xf numFmtId="0" fontId="25" fillId="0" borderId="24" xfId="0" applyFont="1" applyBorder="1"/>
    <xf numFmtId="0" fontId="27" fillId="0" borderId="20" xfId="0" applyFont="1" applyBorder="1" applyAlignment="1">
      <alignment vertical="center"/>
    </xf>
    <xf numFmtId="164" fontId="12" fillId="0" borderId="18" xfId="0" applyNumberFormat="1" applyFont="1" applyBorder="1" applyAlignment="1">
      <alignment horizontal="center"/>
    </xf>
    <xf numFmtId="0" fontId="31" fillId="0" borderId="17" xfId="0" applyFont="1" applyBorder="1" applyAlignment="1">
      <alignment vertical="center"/>
    </xf>
    <xf numFmtId="0" fontId="12" fillId="0" borderId="17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164" fontId="12" fillId="0" borderId="19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left" vertical="center"/>
    </xf>
    <xf numFmtId="0" fontId="10" fillId="0" borderId="27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30" fillId="0" borderId="36" xfId="0" applyFont="1" applyBorder="1" applyAlignment="1">
      <alignment vertical="center"/>
    </xf>
    <xf numFmtId="0" fontId="10" fillId="0" borderId="37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10" fillId="0" borderId="28" xfId="0" applyFont="1" applyBorder="1" applyAlignment="1">
      <alignment vertical="center"/>
    </xf>
    <xf numFmtId="0" fontId="10" fillId="0" borderId="29" xfId="0" applyFont="1" applyBorder="1" applyAlignment="1">
      <alignment vertical="center"/>
    </xf>
    <xf numFmtId="0" fontId="12" fillId="0" borderId="39" xfId="0" applyFont="1" applyBorder="1"/>
    <xf numFmtId="0" fontId="30" fillId="0" borderId="33" xfId="0" applyFont="1" applyBorder="1" applyAlignment="1">
      <alignment vertical="center"/>
    </xf>
    <xf numFmtId="0" fontId="12" fillId="3" borderId="1" xfId="0" applyFont="1" applyFill="1" applyBorder="1" applyAlignment="1" applyProtection="1">
      <alignment horizontal="center" vertical="center"/>
      <protection locked="0"/>
    </xf>
    <xf numFmtId="0" fontId="12" fillId="0" borderId="10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2" fillId="3" borderId="40" xfId="0" applyFont="1" applyFill="1" applyBorder="1" applyAlignment="1" applyProtection="1">
      <alignment horizontal="center" vertical="center"/>
      <protection locked="0"/>
    </xf>
    <xf numFmtId="0" fontId="36" fillId="0" borderId="0" xfId="1" applyFont="1" applyAlignment="1" applyProtection="1">
      <alignment horizontal="left"/>
    </xf>
    <xf numFmtId="0" fontId="12" fillId="3" borderId="40" xfId="0" applyFont="1" applyFill="1" applyBorder="1" applyAlignment="1" applyProtection="1">
      <alignment horizontal="center" vertical="center"/>
      <protection locked="0"/>
    </xf>
    <xf numFmtId="0" fontId="12" fillId="3" borderId="13" xfId="0" applyFont="1" applyFill="1" applyBorder="1" applyAlignment="1" applyProtection="1">
      <alignment horizontal="center" vertical="center"/>
      <protection locked="0"/>
    </xf>
    <xf numFmtId="14" fontId="2" fillId="3" borderId="4" xfId="0" applyNumberFormat="1" applyFont="1" applyFill="1" applyBorder="1" applyAlignment="1" applyProtection="1">
      <alignment horizontal="center"/>
      <protection locked="0"/>
    </xf>
    <xf numFmtId="14" fontId="2" fillId="3" borderId="8" xfId="0" applyNumberFormat="1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15" xfId="0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 applyProtection="1">
      <alignment horizontal="center"/>
      <protection locked="0"/>
    </xf>
    <xf numFmtId="0" fontId="12" fillId="3" borderId="1" xfId="0" applyFont="1" applyFill="1" applyBorder="1" applyAlignment="1" applyProtection="1">
      <alignment horizontal="center" vertical="center"/>
      <protection locked="0"/>
    </xf>
    <xf numFmtId="0" fontId="12" fillId="3" borderId="2" xfId="0" applyFont="1" applyFill="1" applyBorder="1" applyAlignment="1" applyProtection="1">
      <alignment horizontal="center" vertical="center"/>
      <protection locked="0"/>
    </xf>
    <xf numFmtId="0" fontId="12" fillId="3" borderId="3" xfId="0" applyFont="1" applyFill="1" applyBorder="1" applyAlignment="1" applyProtection="1">
      <alignment horizontal="center" vertical="center"/>
      <protection locked="0"/>
    </xf>
    <xf numFmtId="0" fontId="12" fillId="3" borderId="19" xfId="0" applyFont="1" applyFill="1" applyBorder="1" applyAlignment="1" applyProtection="1">
      <alignment horizontal="center" vertical="center"/>
      <protection locked="0"/>
    </xf>
    <xf numFmtId="0" fontId="12" fillId="3" borderId="20" xfId="0" applyFont="1" applyFill="1" applyBorder="1" applyAlignment="1" applyProtection="1">
      <alignment horizontal="center" vertical="center"/>
      <protection locked="0"/>
    </xf>
    <xf numFmtId="0" fontId="12" fillId="3" borderId="18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2" fillId="0" borderId="0" xfId="0" applyFont="1" applyAlignment="1">
      <alignment horizontal="center" wrapText="1"/>
    </xf>
    <xf numFmtId="0" fontId="9" fillId="0" borderId="2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30" fillId="0" borderId="22" xfId="0" applyFont="1" applyBorder="1" applyAlignment="1">
      <alignment horizontal="left" vertical="center"/>
    </xf>
    <xf numFmtId="0" fontId="30" fillId="0" borderId="23" xfId="0" applyFont="1" applyBorder="1" applyAlignment="1">
      <alignment horizontal="left" vertical="center"/>
    </xf>
    <xf numFmtId="0" fontId="10" fillId="0" borderId="41" xfId="0" applyFont="1" applyBorder="1" applyAlignment="1">
      <alignment vertical="center"/>
    </xf>
    <xf numFmtId="0" fontId="10" fillId="0" borderId="42" xfId="0" applyFont="1" applyBorder="1" applyAlignment="1">
      <alignment vertical="center"/>
    </xf>
    <xf numFmtId="1" fontId="12" fillId="3" borderId="10" xfId="0" applyNumberFormat="1" applyFont="1" applyFill="1" applyBorder="1" applyAlignment="1" applyProtection="1">
      <alignment horizontal="center" vertical="center"/>
      <protection locked="0"/>
    </xf>
    <xf numFmtId="0" fontId="30" fillId="0" borderId="43" xfId="0" applyFont="1" applyBorder="1" applyAlignment="1">
      <alignment vertical="center"/>
    </xf>
    <xf numFmtId="0" fontId="30" fillId="0" borderId="44" xfId="0" applyFont="1" applyBorder="1" applyAlignment="1">
      <alignment vertical="center"/>
    </xf>
    <xf numFmtId="0" fontId="30" fillId="0" borderId="44" xfId="0" applyFont="1" applyBorder="1" applyAlignment="1" applyProtection="1">
      <alignment vertical="center"/>
      <protection locked="0"/>
    </xf>
    <xf numFmtId="0" fontId="30" fillId="0" borderId="45" xfId="0" applyFont="1" applyBorder="1" applyAlignment="1">
      <alignment vertical="center"/>
    </xf>
    <xf numFmtId="0" fontId="2" fillId="0" borderId="46" xfId="0" applyFont="1" applyBorder="1" applyAlignment="1" applyProtection="1">
      <alignment vertical="center"/>
      <protection locked="0"/>
    </xf>
    <xf numFmtId="0" fontId="12" fillId="0" borderId="6" xfId="0" applyFont="1" applyBorder="1" applyAlignment="1">
      <alignment vertical="center"/>
    </xf>
    <xf numFmtId="0" fontId="2" fillId="2" borderId="15" xfId="0" applyFont="1" applyFill="1" applyBorder="1" applyAlignment="1" applyProtection="1">
      <alignment vertical="center"/>
      <protection locked="0"/>
    </xf>
    <xf numFmtId="0" fontId="12" fillId="0" borderId="7" xfId="0" applyFont="1" applyBorder="1" applyAlignment="1">
      <alignment vertical="center"/>
    </xf>
    <xf numFmtId="164" fontId="12" fillId="0" borderId="47" xfId="0" applyNumberFormat="1" applyFont="1" applyBorder="1" applyAlignment="1">
      <alignment horizontal="center" vertical="center"/>
    </xf>
    <xf numFmtId="1" fontId="12" fillId="3" borderId="47" xfId="0" applyNumberFormat="1" applyFont="1" applyFill="1" applyBorder="1" applyAlignment="1" applyProtection="1">
      <alignment horizontal="center" vertical="center"/>
      <protection locked="0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0" fontId="12" fillId="3" borderId="48" xfId="0" applyFont="1" applyFill="1" applyBorder="1" applyAlignment="1" applyProtection="1">
      <alignment horizontal="center" vertical="center"/>
      <protection locked="0"/>
    </xf>
    <xf numFmtId="0" fontId="12" fillId="0" borderId="47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vertical="center"/>
      <protection locked="0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0" fontId="30" fillId="0" borderId="51" xfId="0" applyFont="1" applyBorder="1" applyAlignment="1">
      <alignment vertical="center"/>
    </xf>
    <xf numFmtId="0" fontId="0" fillId="0" borderId="39" xfId="0" applyBorder="1"/>
    <xf numFmtId="0" fontId="35" fillId="0" borderId="53" xfId="0" applyFont="1" applyBorder="1" applyAlignment="1">
      <alignment horizontal="center" vertical="center"/>
    </xf>
    <xf numFmtId="0" fontId="12" fillId="0" borderId="54" xfId="0" applyFont="1" applyBorder="1" applyAlignment="1">
      <alignment vertical="center"/>
    </xf>
    <xf numFmtId="164" fontId="12" fillId="0" borderId="55" xfId="0" applyNumberFormat="1" applyFont="1" applyBorder="1" applyAlignment="1">
      <alignment horizontal="center" vertical="center" wrapText="1"/>
    </xf>
    <xf numFmtId="164" fontId="12" fillId="0" borderId="54" xfId="0" applyNumberFormat="1" applyFont="1" applyBorder="1" applyAlignment="1">
      <alignment horizontal="center" vertical="center" wrapText="1"/>
    </xf>
    <xf numFmtId="0" fontId="12" fillId="3" borderId="55" xfId="0" applyFont="1" applyFill="1" applyBorder="1" applyAlignment="1" applyProtection="1">
      <alignment horizontal="center" vertical="center"/>
      <protection locked="0"/>
    </xf>
    <xf numFmtId="0" fontId="12" fillId="3" borderId="56" xfId="0" applyFont="1" applyFill="1" applyBorder="1" applyAlignment="1" applyProtection="1">
      <alignment horizontal="center" vertical="center"/>
      <protection locked="0"/>
    </xf>
    <xf numFmtId="0" fontId="12" fillId="0" borderId="54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2" fillId="2" borderId="58" xfId="0" applyFont="1" applyFill="1" applyBorder="1" applyAlignment="1" applyProtection="1">
      <alignment horizontal="center" vertical="center"/>
      <protection locked="0"/>
    </xf>
    <xf numFmtId="0" fontId="6" fillId="4" borderId="52" xfId="0" applyFont="1" applyFill="1" applyBorder="1" applyAlignment="1">
      <alignment horizontal="left" vertical="center"/>
    </xf>
    <xf numFmtId="0" fontId="6" fillId="4" borderId="50" xfId="0" applyFont="1" applyFill="1" applyBorder="1" applyAlignment="1">
      <alignment horizontal="left" vertical="center"/>
    </xf>
    <xf numFmtId="0" fontId="6" fillId="4" borderId="32" xfId="0" applyFont="1" applyFill="1" applyBorder="1" applyAlignment="1">
      <alignment horizontal="left" vertical="center"/>
    </xf>
    <xf numFmtId="0" fontId="6" fillId="4" borderId="26" xfId="0" applyFont="1" applyFill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60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10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vertical="center"/>
    </xf>
    <xf numFmtId="0" fontId="14" fillId="2" borderId="67" xfId="0" applyFont="1" applyFill="1" applyBorder="1" applyAlignment="1" applyProtection="1">
      <alignment vertical="center"/>
      <protection locked="0"/>
    </xf>
    <xf numFmtId="0" fontId="2" fillId="0" borderId="68" xfId="0" applyFont="1" applyBorder="1" applyAlignment="1" applyProtection="1">
      <alignment vertical="center"/>
      <protection locked="0"/>
    </xf>
    <xf numFmtId="0" fontId="2" fillId="2" borderId="67" xfId="0" applyFont="1" applyFill="1" applyBorder="1" applyAlignment="1" applyProtection="1">
      <alignment vertical="center"/>
      <protection locked="0"/>
    </xf>
    <xf numFmtId="164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>
      <alignment horizontal="center" vertical="center"/>
    </xf>
    <xf numFmtId="0" fontId="2" fillId="2" borderId="69" xfId="0" applyFont="1" applyFill="1" applyBorder="1" applyAlignment="1" applyProtection="1">
      <alignment vertical="center"/>
      <protection locked="0"/>
    </xf>
    <xf numFmtId="0" fontId="10" fillId="0" borderId="70" xfId="0" applyFont="1" applyBorder="1" applyAlignment="1">
      <alignment vertical="center"/>
    </xf>
    <xf numFmtId="0" fontId="30" fillId="0" borderId="71" xfId="0" applyFont="1" applyBorder="1" applyAlignment="1">
      <alignment vertical="center"/>
    </xf>
    <xf numFmtId="0" fontId="30" fillId="0" borderId="72" xfId="0" applyFont="1" applyBorder="1" applyAlignment="1">
      <alignment vertical="center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Medium9"/>
  <colors>
    <mruColors>
      <color rgb="FF009900"/>
      <color rgb="FF33CC33"/>
      <color rgb="FF00CC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0</xdr:rowOff>
    </xdr:from>
    <xdr:to>
      <xdr:col>1</xdr:col>
      <xdr:colOff>600075</xdr:colOff>
      <xdr:row>2</xdr:row>
      <xdr:rowOff>76200</xdr:rowOff>
    </xdr:to>
    <xdr:pic>
      <xdr:nvPicPr>
        <xdr:cNvPr id="1129" name="Picture 1">
          <a:extLst>
            <a:ext uri="{FF2B5EF4-FFF2-40B4-BE49-F238E27FC236}">
              <a16:creationId xmlns:a16="http://schemas.microsoft.com/office/drawing/2014/main" id="{0FCC85AF-F7F3-DAB9-2D3C-D116F473A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0"/>
          <a:ext cx="8953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yroba@srzrada.s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9"/>
  <sheetViews>
    <sheetView tabSelected="1" zoomScale="85" zoomScaleNormal="85" workbookViewId="0">
      <selection activeCell="E8" sqref="E8:F8"/>
    </sheetView>
  </sheetViews>
  <sheetFormatPr defaultRowHeight="14.4" x14ac:dyDescent="0.3"/>
  <cols>
    <col min="1" max="1" width="6.44140625" customWidth="1"/>
    <col min="2" max="2" width="52" customWidth="1"/>
    <col min="3" max="3" width="14.6640625" customWidth="1"/>
    <col min="4" max="4" width="13.33203125" customWidth="1"/>
    <col min="7" max="7" width="20.6640625" customWidth="1"/>
    <col min="8" max="8" width="47.88671875" customWidth="1"/>
    <col min="9" max="9" width="50.109375" customWidth="1"/>
  </cols>
  <sheetData>
    <row r="1" spans="1:9" ht="31.8" x14ac:dyDescent="0.55000000000000004">
      <c r="A1" s="84" t="s">
        <v>0</v>
      </c>
      <c r="B1" s="84"/>
      <c r="C1" s="84"/>
      <c r="D1" s="84"/>
      <c r="E1" s="84"/>
      <c r="F1" s="84"/>
      <c r="G1" s="84"/>
      <c r="H1" s="84"/>
      <c r="I1" s="1"/>
    </row>
    <row r="2" spans="1:9" ht="30" x14ac:dyDescent="0.5">
      <c r="A2" s="85" t="s">
        <v>225</v>
      </c>
      <c r="B2" s="86"/>
      <c r="C2" s="86"/>
      <c r="D2" s="86"/>
      <c r="E2" s="86"/>
      <c r="F2" s="86"/>
      <c r="G2" s="86"/>
      <c r="H2" s="86"/>
      <c r="I2" s="1"/>
    </row>
    <row r="3" spans="1:9" ht="16.2" thickBot="1" x14ac:dyDescent="0.35">
      <c r="A3" s="7"/>
      <c r="C3" s="87"/>
      <c r="D3" s="87"/>
      <c r="E3" s="87"/>
      <c r="F3" s="87"/>
      <c r="G3" s="87"/>
      <c r="H3" s="87"/>
      <c r="I3" s="1"/>
    </row>
    <row r="4" spans="1:9" x14ac:dyDescent="0.3">
      <c r="A4" s="130" t="s">
        <v>1</v>
      </c>
      <c r="B4" s="131" t="s">
        <v>2</v>
      </c>
      <c r="C4" s="132" t="s">
        <v>3</v>
      </c>
      <c r="D4" s="133" t="s">
        <v>4</v>
      </c>
      <c r="E4" s="134" t="s">
        <v>5</v>
      </c>
      <c r="F4" s="135"/>
      <c r="G4" s="136" t="s">
        <v>6</v>
      </c>
      <c r="H4" s="137" t="s">
        <v>258</v>
      </c>
      <c r="I4" s="138" t="s">
        <v>7</v>
      </c>
    </row>
    <row r="5" spans="1:9" ht="15" thickBot="1" x14ac:dyDescent="0.35">
      <c r="A5" s="139" t="s">
        <v>8</v>
      </c>
      <c r="B5" s="88"/>
      <c r="C5" s="54" t="s">
        <v>9</v>
      </c>
      <c r="D5" s="89"/>
      <c r="E5" s="91" t="s">
        <v>10</v>
      </c>
      <c r="F5" s="92"/>
      <c r="G5" s="54" t="s">
        <v>11</v>
      </c>
      <c r="H5" s="90"/>
      <c r="I5" s="140"/>
    </row>
    <row r="6" spans="1:9" ht="15" thickTop="1" x14ac:dyDescent="0.3">
      <c r="A6" s="93" t="s">
        <v>12</v>
      </c>
      <c r="B6" s="94"/>
      <c r="C6" s="94"/>
      <c r="D6" s="94"/>
      <c r="E6" s="94"/>
      <c r="F6" s="94"/>
      <c r="G6" s="94"/>
      <c r="H6" s="94"/>
      <c r="I6" s="141"/>
    </row>
    <row r="7" spans="1:9" ht="16.2" x14ac:dyDescent="0.3">
      <c r="A7" s="8" t="s">
        <v>13</v>
      </c>
      <c r="B7" s="9" t="s">
        <v>14</v>
      </c>
      <c r="C7" s="10" t="s">
        <v>15</v>
      </c>
      <c r="D7" s="10" t="s">
        <v>16</v>
      </c>
      <c r="E7" s="78"/>
      <c r="F7" s="78"/>
      <c r="G7" s="2">
        <f>SUM(E7/1000*2.5)</f>
        <v>0</v>
      </c>
      <c r="H7" s="55" t="s">
        <v>17</v>
      </c>
      <c r="I7" s="104"/>
    </row>
    <row r="8" spans="1:9" ht="16.2" x14ac:dyDescent="0.3">
      <c r="A8" s="8" t="s">
        <v>18</v>
      </c>
      <c r="B8" s="9" t="s">
        <v>19</v>
      </c>
      <c r="C8" s="10" t="s">
        <v>20</v>
      </c>
      <c r="D8" s="10" t="s">
        <v>16</v>
      </c>
      <c r="E8" s="78"/>
      <c r="F8" s="78"/>
      <c r="G8" s="2">
        <f>SUM(E8/1000*19.5)</f>
        <v>0</v>
      </c>
      <c r="H8" s="55" t="s">
        <v>21</v>
      </c>
      <c r="I8" s="104"/>
    </row>
    <row r="9" spans="1:9" ht="16.2" x14ac:dyDescent="0.3">
      <c r="A9" s="8" t="s">
        <v>22</v>
      </c>
      <c r="B9" s="9" t="s">
        <v>23</v>
      </c>
      <c r="C9" s="10" t="s">
        <v>24</v>
      </c>
      <c r="D9" s="10" t="s">
        <v>16</v>
      </c>
      <c r="E9" s="78"/>
      <c r="F9" s="78"/>
      <c r="G9" s="3">
        <f>SUM(E9*5.7)</f>
        <v>0</v>
      </c>
      <c r="H9" s="55" t="s">
        <v>25</v>
      </c>
      <c r="I9" s="104"/>
    </row>
    <row r="10" spans="1:9" ht="16.2" x14ac:dyDescent="0.3">
      <c r="A10" s="8" t="s">
        <v>26</v>
      </c>
      <c r="B10" s="9" t="s">
        <v>226</v>
      </c>
      <c r="C10" s="10" t="s">
        <v>27</v>
      </c>
      <c r="D10" s="10" t="s">
        <v>16</v>
      </c>
      <c r="E10" s="78"/>
      <c r="F10" s="78"/>
      <c r="G10" s="2">
        <f>SUM(E10*4)</f>
        <v>0</v>
      </c>
      <c r="H10" s="55" t="s">
        <v>28</v>
      </c>
      <c r="I10" s="104"/>
    </row>
    <row r="11" spans="1:9" x14ac:dyDescent="0.3">
      <c r="A11" s="8" t="s">
        <v>29</v>
      </c>
      <c r="B11" s="9" t="s">
        <v>30</v>
      </c>
      <c r="C11" s="10" t="s">
        <v>31</v>
      </c>
      <c r="D11" s="10" t="s">
        <v>16</v>
      </c>
      <c r="E11" s="79"/>
      <c r="F11" s="80"/>
      <c r="G11" s="2">
        <f>SUM(E11*3.9)</f>
        <v>0</v>
      </c>
      <c r="H11" s="55" t="s">
        <v>32</v>
      </c>
      <c r="I11" s="104"/>
    </row>
    <row r="12" spans="1:9" ht="18" x14ac:dyDescent="0.3">
      <c r="A12" s="8" t="s">
        <v>33</v>
      </c>
      <c r="B12" s="9" t="s">
        <v>34</v>
      </c>
      <c r="C12" s="10" t="s">
        <v>211</v>
      </c>
      <c r="D12" s="10" t="s">
        <v>16</v>
      </c>
      <c r="E12" s="78"/>
      <c r="F12" s="78"/>
      <c r="G12" s="2">
        <f>SUM(E12*3.55)</f>
        <v>0</v>
      </c>
      <c r="H12" s="55" t="s">
        <v>28</v>
      </c>
      <c r="I12" s="104"/>
    </row>
    <row r="13" spans="1:9" ht="16.8" thickBot="1" x14ac:dyDescent="0.35">
      <c r="A13" s="42" t="s">
        <v>35</v>
      </c>
      <c r="B13" s="53" t="s">
        <v>227</v>
      </c>
      <c r="C13" s="36" t="s">
        <v>212</v>
      </c>
      <c r="D13" s="36" t="s">
        <v>16</v>
      </c>
      <c r="E13" s="83"/>
      <c r="F13" s="83"/>
      <c r="G13" s="37">
        <f>SUM(E13*6.5)</f>
        <v>0</v>
      </c>
      <c r="H13" s="56" t="s">
        <v>259</v>
      </c>
      <c r="I13" s="142"/>
    </row>
    <row r="14" spans="1:9" ht="15" thickTop="1" x14ac:dyDescent="0.3">
      <c r="A14" s="39" t="s">
        <v>37</v>
      </c>
      <c r="B14" s="40"/>
      <c r="C14" s="40"/>
      <c r="D14" s="40"/>
      <c r="E14" s="41"/>
      <c r="F14" s="41"/>
      <c r="G14" s="40"/>
      <c r="H14" s="57"/>
      <c r="I14" s="143"/>
    </row>
    <row r="15" spans="1:9" ht="16.8" thickBot="1" x14ac:dyDescent="0.35">
      <c r="A15" s="42" t="s">
        <v>38</v>
      </c>
      <c r="B15" s="35" t="s">
        <v>39</v>
      </c>
      <c r="C15" s="36" t="s">
        <v>40</v>
      </c>
      <c r="D15" s="36" t="s">
        <v>16</v>
      </c>
      <c r="E15" s="83"/>
      <c r="F15" s="83"/>
      <c r="G15" s="37">
        <f>SUM(E15*5.8)</f>
        <v>0</v>
      </c>
      <c r="H15" s="56" t="s">
        <v>28</v>
      </c>
      <c r="I15" s="144"/>
    </row>
    <row r="16" spans="1:9" ht="15" thickTop="1" x14ac:dyDescent="0.3">
      <c r="A16" s="39" t="s">
        <v>41</v>
      </c>
      <c r="B16" s="40"/>
      <c r="C16" s="40"/>
      <c r="D16" s="40"/>
      <c r="E16" s="41"/>
      <c r="F16" s="41"/>
      <c r="G16" s="40"/>
      <c r="H16" s="57"/>
      <c r="I16" s="143"/>
    </row>
    <row r="17" spans="1:9" ht="16.2" x14ac:dyDescent="0.3">
      <c r="A17" s="8" t="s">
        <v>42</v>
      </c>
      <c r="B17" s="9" t="s">
        <v>43</v>
      </c>
      <c r="C17" s="10" t="s">
        <v>44</v>
      </c>
      <c r="D17" s="10" t="s">
        <v>16</v>
      </c>
      <c r="E17" s="78"/>
      <c r="F17" s="78"/>
      <c r="G17" s="2">
        <f>SUM(E17/1000*3.3)</f>
        <v>0</v>
      </c>
      <c r="H17" s="55" t="s">
        <v>45</v>
      </c>
      <c r="I17" s="104"/>
    </row>
    <row r="18" spans="1:9" ht="16.2" x14ac:dyDescent="0.3">
      <c r="A18" s="8" t="s">
        <v>46</v>
      </c>
      <c r="B18" s="9" t="s">
        <v>47</v>
      </c>
      <c r="C18" s="10" t="s">
        <v>48</v>
      </c>
      <c r="D18" s="10" t="s">
        <v>16</v>
      </c>
      <c r="E18" s="78"/>
      <c r="F18" s="78"/>
      <c r="G18" s="2">
        <f>SUM(E18/1000*30)</f>
        <v>0</v>
      </c>
      <c r="H18" s="55" t="s">
        <v>45</v>
      </c>
      <c r="I18" s="104"/>
    </row>
    <row r="19" spans="1:9" ht="16.2" x14ac:dyDescent="0.3">
      <c r="A19" s="8" t="s">
        <v>49</v>
      </c>
      <c r="B19" s="9" t="s">
        <v>50</v>
      </c>
      <c r="C19" s="10" t="s">
        <v>36</v>
      </c>
      <c r="D19" s="10" t="s">
        <v>16</v>
      </c>
      <c r="E19" s="78"/>
      <c r="F19" s="78"/>
      <c r="G19" s="2">
        <f>SUM(E19*5.5)</f>
        <v>0</v>
      </c>
      <c r="H19" s="55" t="s">
        <v>28</v>
      </c>
      <c r="I19" s="104"/>
    </row>
    <row r="20" spans="1:9" ht="16.8" thickBot="1" x14ac:dyDescent="0.35">
      <c r="A20" s="42" t="s">
        <v>51</v>
      </c>
      <c r="B20" s="35" t="s">
        <v>39</v>
      </c>
      <c r="C20" s="36" t="s">
        <v>52</v>
      </c>
      <c r="D20" s="36" t="s">
        <v>16</v>
      </c>
      <c r="E20" s="83"/>
      <c r="F20" s="83"/>
      <c r="G20" s="37">
        <f>SUM(E20*4.2)</f>
        <v>0</v>
      </c>
      <c r="H20" s="56" t="s">
        <v>28</v>
      </c>
      <c r="I20" s="144"/>
    </row>
    <row r="21" spans="1:9" ht="15" thickTop="1" x14ac:dyDescent="0.3">
      <c r="A21" s="39" t="s">
        <v>53</v>
      </c>
      <c r="B21" s="40"/>
      <c r="C21" s="40"/>
      <c r="D21" s="40"/>
      <c r="E21" s="41"/>
      <c r="F21" s="41"/>
      <c r="G21" s="40"/>
      <c r="H21" s="57"/>
      <c r="I21" s="143"/>
    </row>
    <row r="22" spans="1:9" ht="16.2" x14ac:dyDescent="0.3">
      <c r="A22" s="8" t="s">
        <v>54</v>
      </c>
      <c r="B22" s="9" t="s">
        <v>55</v>
      </c>
      <c r="C22" s="10" t="s">
        <v>228</v>
      </c>
      <c r="D22" s="10" t="s">
        <v>16</v>
      </c>
      <c r="E22" s="79"/>
      <c r="F22" s="80"/>
      <c r="G22" s="2">
        <f>SUM(E22/1000*4)</f>
        <v>0</v>
      </c>
      <c r="H22" s="55" t="s">
        <v>56</v>
      </c>
      <c r="I22" s="104"/>
    </row>
    <row r="23" spans="1:9" ht="16.2" x14ac:dyDescent="0.3">
      <c r="A23" s="8" t="s">
        <v>57</v>
      </c>
      <c r="B23" s="9" t="s">
        <v>229</v>
      </c>
      <c r="C23" s="10" t="s">
        <v>233</v>
      </c>
      <c r="D23" s="10" t="s">
        <v>16</v>
      </c>
      <c r="E23" s="79"/>
      <c r="F23" s="80"/>
      <c r="G23" s="2">
        <f>SUM(E23*0.16)</f>
        <v>0</v>
      </c>
      <c r="H23" s="55" t="s">
        <v>17</v>
      </c>
      <c r="I23" s="104"/>
    </row>
    <row r="24" spans="1:9" ht="16.8" thickBot="1" x14ac:dyDescent="0.35">
      <c r="A24" s="42" t="s">
        <v>230</v>
      </c>
      <c r="B24" s="35" t="s">
        <v>90</v>
      </c>
      <c r="C24" s="36" t="s">
        <v>87</v>
      </c>
      <c r="D24" s="36" t="s">
        <v>16</v>
      </c>
      <c r="E24" s="81"/>
      <c r="F24" s="82"/>
      <c r="G24" s="37">
        <f>SUM(E24*13)</f>
        <v>0</v>
      </c>
      <c r="H24" s="56" t="s">
        <v>28</v>
      </c>
      <c r="I24" s="144"/>
    </row>
    <row r="25" spans="1:9" ht="15" thickTop="1" x14ac:dyDescent="0.3">
      <c r="A25" s="39" t="s">
        <v>58</v>
      </c>
      <c r="B25" s="40"/>
      <c r="C25" s="40"/>
      <c r="D25" s="40"/>
      <c r="E25" s="41"/>
      <c r="F25" s="41"/>
      <c r="G25" s="40"/>
      <c r="H25" s="57"/>
      <c r="I25" s="143"/>
    </row>
    <row r="26" spans="1:9" x14ac:dyDescent="0.3">
      <c r="A26" s="8" t="s">
        <v>59</v>
      </c>
      <c r="B26" s="9" t="s">
        <v>60</v>
      </c>
      <c r="C26" s="10" t="s">
        <v>61</v>
      </c>
      <c r="D26" s="10" t="s">
        <v>16</v>
      </c>
      <c r="E26" s="79"/>
      <c r="F26" s="80"/>
      <c r="G26" s="2">
        <f>SUM(E26*160)</f>
        <v>0</v>
      </c>
      <c r="H26" s="55" t="s">
        <v>56</v>
      </c>
      <c r="I26" s="104"/>
    </row>
    <row r="27" spans="1:9" ht="16.2" x14ac:dyDescent="0.3">
      <c r="A27" s="8" t="s">
        <v>62</v>
      </c>
      <c r="B27" s="9" t="s">
        <v>231</v>
      </c>
      <c r="C27" s="10" t="s">
        <v>232</v>
      </c>
      <c r="D27" s="15" t="s">
        <v>16</v>
      </c>
      <c r="E27" s="79"/>
      <c r="F27" s="80"/>
      <c r="G27" s="2">
        <f>SUM(E27*0.16)</f>
        <v>0</v>
      </c>
      <c r="H27" s="55" t="s">
        <v>21</v>
      </c>
      <c r="I27" s="104"/>
    </row>
    <row r="28" spans="1:9" ht="16.2" x14ac:dyDescent="0.3">
      <c r="A28" s="8" t="s">
        <v>64</v>
      </c>
      <c r="B28" s="9" t="s">
        <v>234</v>
      </c>
      <c r="C28" s="10" t="s">
        <v>235</v>
      </c>
      <c r="D28" s="5"/>
      <c r="E28" s="79"/>
      <c r="F28" s="80"/>
      <c r="G28" s="2">
        <f>SUM(D28*E28*0.035)</f>
        <v>0</v>
      </c>
      <c r="H28" s="55" t="s">
        <v>28</v>
      </c>
      <c r="I28" s="104"/>
    </row>
    <row r="29" spans="1:9" ht="16.8" thickBot="1" x14ac:dyDescent="0.35">
      <c r="A29" s="42" t="s">
        <v>65</v>
      </c>
      <c r="B29" s="35" t="s">
        <v>66</v>
      </c>
      <c r="C29" s="36" t="s">
        <v>236</v>
      </c>
      <c r="D29" s="52" t="s">
        <v>16</v>
      </c>
      <c r="E29" s="81"/>
      <c r="F29" s="82"/>
      <c r="G29" s="37">
        <f>SUM(E29*19.9)</f>
        <v>0</v>
      </c>
      <c r="H29" s="56" t="s">
        <v>28</v>
      </c>
      <c r="I29" s="144"/>
    </row>
    <row r="30" spans="1:9" ht="15" thickTop="1" x14ac:dyDescent="0.3">
      <c r="A30" s="39" t="s">
        <v>67</v>
      </c>
      <c r="B30" s="39"/>
      <c r="C30" s="40"/>
      <c r="D30" s="40"/>
      <c r="E30" s="41"/>
      <c r="F30" s="41"/>
      <c r="G30" s="40"/>
      <c r="H30" s="57"/>
      <c r="I30" s="143"/>
    </row>
    <row r="31" spans="1:9" ht="16.2" x14ac:dyDescent="0.3">
      <c r="A31" s="8" t="s">
        <v>68</v>
      </c>
      <c r="B31" s="30" t="s">
        <v>69</v>
      </c>
      <c r="C31" s="10" t="s">
        <v>70</v>
      </c>
      <c r="D31" s="10" t="s">
        <v>16</v>
      </c>
      <c r="E31" s="79"/>
      <c r="F31" s="80"/>
      <c r="G31" s="2">
        <f>SUM(E31/1000*31)</f>
        <v>0</v>
      </c>
      <c r="H31" s="55" t="s">
        <v>71</v>
      </c>
      <c r="I31" s="104"/>
    </row>
    <row r="32" spans="1:9" ht="16.8" thickBot="1" x14ac:dyDescent="0.35">
      <c r="A32" s="42" t="s">
        <v>72</v>
      </c>
      <c r="B32" s="51" t="s">
        <v>73</v>
      </c>
      <c r="C32" s="36" t="s">
        <v>237</v>
      </c>
      <c r="D32" s="36" t="s">
        <v>16</v>
      </c>
      <c r="E32" s="81"/>
      <c r="F32" s="82"/>
      <c r="G32" s="37">
        <f>SUM(E32*3.55)</f>
        <v>0</v>
      </c>
      <c r="H32" s="56" t="s">
        <v>28</v>
      </c>
      <c r="I32" s="144"/>
    </row>
    <row r="33" spans="1:9" ht="15" thickTop="1" x14ac:dyDescent="0.3">
      <c r="A33" s="49" t="s">
        <v>74</v>
      </c>
      <c r="B33" s="50"/>
      <c r="C33" s="145"/>
      <c r="D33" s="145"/>
      <c r="E33" s="146"/>
      <c r="F33" s="146"/>
      <c r="G33" s="147"/>
      <c r="H33" s="58"/>
      <c r="I33" s="143"/>
    </row>
    <row r="34" spans="1:9" ht="16.2" x14ac:dyDescent="0.35">
      <c r="A34" s="31" t="s">
        <v>75</v>
      </c>
      <c r="B34" s="32" t="s">
        <v>76</v>
      </c>
      <c r="C34" s="33" t="s">
        <v>77</v>
      </c>
      <c r="D34" s="10" t="s">
        <v>16</v>
      </c>
      <c r="E34" s="79"/>
      <c r="F34" s="80"/>
      <c r="G34" s="2">
        <f>SUM(E34/1*0.12)</f>
        <v>0</v>
      </c>
      <c r="H34" s="59" t="s">
        <v>21</v>
      </c>
      <c r="I34" s="104"/>
    </row>
    <row r="35" spans="1:9" ht="16.2" x14ac:dyDescent="0.35">
      <c r="A35" s="31" t="s">
        <v>78</v>
      </c>
      <c r="B35" s="32" t="s">
        <v>79</v>
      </c>
      <c r="C35" s="33" t="s">
        <v>80</v>
      </c>
      <c r="D35" s="4"/>
      <c r="E35" s="79"/>
      <c r="F35" s="80"/>
      <c r="G35" s="2">
        <f>SUM(D35*E35*0.026)</f>
        <v>0</v>
      </c>
      <c r="H35" s="59" t="s">
        <v>81</v>
      </c>
      <c r="I35" s="104"/>
    </row>
    <row r="36" spans="1:9" ht="16.2" x14ac:dyDescent="0.35">
      <c r="A36" s="31" t="s">
        <v>82</v>
      </c>
      <c r="B36" s="32" t="s">
        <v>83</v>
      </c>
      <c r="C36" s="33" t="s">
        <v>84</v>
      </c>
      <c r="D36" s="4"/>
      <c r="E36" s="79"/>
      <c r="F36" s="80"/>
      <c r="G36" s="2">
        <f>SUM(D36*E36*0.033)</f>
        <v>0</v>
      </c>
      <c r="H36" s="59" t="s">
        <v>81</v>
      </c>
      <c r="I36" s="104"/>
    </row>
    <row r="37" spans="1:9" ht="16.8" thickBot="1" x14ac:dyDescent="0.4">
      <c r="A37" s="46" t="s">
        <v>85</v>
      </c>
      <c r="B37" s="47" t="s">
        <v>86</v>
      </c>
      <c r="C37" s="48" t="s">
        <v>87</v>
      </c>
      <c r="D37" s="36" t="s">
        <v>16</v>
      </c>
      <c r="E37" s="81"/>
      <c r="F37" s="82"/>
      <c r="G37" s="37">
        <f>SUM(E37*13)</f>
        <v>0</v>
      </c>
      <c r="H37" s="60" t="s">
        <v>28</v>
      </c>
      <c r="I37" s="144"/>
    </row>
    <row r="38" spans="1:9" ht="15" thickTop="1" x14ac:dyDescent="0.3">
      <c r="A38" s="39" t="s">
        <v>88</v>
      </c>
      <c r="B38" s="40"/>
      <c r="C38" s="40"/>
      <c r="D38" s="40"/>
      <c r="E38" s="41"/>
      <c r="F38" s="41"/>
      <c r="G38" s="40"/>
      <c r="H38" s="57"/>
      <c r="I38" s="143"/>
    </row>
    <row r="39" spans="1:9" ht="15" thickBot="1" x14ac:dyDescent="0.35">
      <c r="A39" s="44" t="s">
        <v>89</v>
      </c>
      <c r="B39" s="35" t="s">
        <v>90</v>
      </c>
      <c r="C39" s="37" t="s">
        <v>91</v>
      </c>
      <c r="D39" s="45" t="s">
        <v>16</v>
      </c>
      <c r="E39" s="81"/>
      <c r="F39" s="82"/>
      <c r="G39" s="37">
        <f>SUM(E39*1.1)</f>
        <v>0</v>
      </c>
      <c r="H39" s="56" t="s">
        <v>28</v>
      </c>
      <c r="I39" s="144"/>
    </row>
    <row r="40" spans="1:9" ht="15" thickTop="1" x14ac:dyDescent="0.3">
      <c r="A40" s="39" t="s">
        <v>92</v>
      </c>
      <c r="B40" s="40"/>
      <c r="C40" s="40"/>
      <c r="D40" s="40"/>
      <c r="E40" s="41"/>
      <c r="F40" s="41"/>
      <c r="G40" s="40"/>
      <c r="H40" s="57"/>
      <c r="I40" s="143"/>
    </row>
    <row r="41" spans="1:9" ht="16.2" x14ac:dyDescent="0.3">
      <c r="A41" s="8" t="s">
        <v>93</v>
      </c>
      <c r="B41" s="9" t="s">
        <v>43</v>
      </c>
      <c r="C41" s="10" t="s">
        <v>94</v>
      </c>
      <c r="D41" s="10" t="s">
        <v>16</v>
      </c>
      <c r="E41" s="79"/>
      <c r="F41" s="80"/>
      <c r="G41" s="2">
        <f>SUM(E41/1000*2.6)</f>
        <v>0</v>
      </c>
      <c r="H41" s="55" t="s">
        <v>21</v>
      </c>
      <c r="I41" s="104"/>
    </row>
    <row r="42" spans="1:9" ht="16.2" x14ac:dyDescent="0.3">
      <c r="A42" s="8" t="s">
        <v>95</v>
      </c>
      <c r="B42" s="9" t="s">
        <v>96</v>
      </c>
      <c r="C42" s="10" t="s">
        <v>97</v>
      </c>
      <c r="D42" s="10" t="s">
        <v>16</v>
      </c>
      <c r="E42" s="79"/>
      <c r="F42" s="80"/>
      <c r="G42" s="2">
        <f>SUM(E42/1000*66)</f>
        <v>0</v>
      </c>
      <c r="H42" s="55" t="s">
        <v>21</v>
      </c>
      <c r="I42" s="104"/>
    </row>
    <row r="43" spans="1:9" ht="16.2" x14ac:dyDescent="0.3">
      <c r="A43" s="16" t="s">
        <v>98</v>
      </c>
      <c r="B43" s="17" t="s">
        <v>99</v>
      </c>
      <c r="C43" s="10" t="s">
        <v>100</v>
      </c>
      <c r="D43" s="4"/>
      <c r="E43" s="79"/>
      <c r="F43" s="80"/>
      <c r="G43" s="2">
        <f>SUM(D43*E43*0.04)</f>
        <v>0</v>
      </c>
      <c r="H43" s="55" t="s">
        <v>101</v>
      </c>
      <c r="I43" s="104"/>
    </row>
    <row r="44" spans="1:9" ht="16.2" x14ac:dyDescent="0.3">
      <c r="A44" s="16" t="s">
        <v>102</v>
      </c>
      <c r="B44" s="17" t="s">
        <v>103</v>
      </c>
      <c r="C44" s="13" t="s">
        <v>104</v>
      </c>
      <c r="D44" s="18" t="s">
        <v>16</v>
      </c>
      <c r="E44" s="79"/>
      <c r="F44" s="80"/>
      <c r="G44" s="66">
        <f>SUM(E44*0.44)</f>
        <v>0</v>
      </c>
      <c r="H44" s="67" t="s">
        <v>105</v>
      </c>
      <c r="I44" s="148"/>
    </row>
    <row r="45" spans="1:9" ht="16.8" thickBot="1" x14ac:dyDescent="0.35">
      <c r="A45" s="42" t="s">
        <v>106</v>
      </c>
      <c r="B45" s="35" t="s">
        <v>39</v>
      </c>
      <c r="C45" s="36" t="s">
        <v>238</v>
      </c>
      <c r="D45" s="36" t="s">
        <v>16</v>
      </c>
      <c r="E45" s="81"/>
      <c r="F45" s="82"/>
      <c r="G45" s="37">
        <f>SUM(E45*8.5)</f>
        <v>0</v>
      </c>
      <c r="H45" s="56" t="s">
        <v>28</v>
      </c>
      <c r="I45" s="144"/>
    </row>
    <row r="46" spans="1:9" ht="15" thickTop="1" x14ac:dyDescent="0.3">
      <c r="A46" s="39" t="s">
        <v>107</v>
      </c>
      <c r="B46" s="40"/>
      <c r="C46" s="40"/>
      <c r="D46" s="40"/>
      <c r="E46" s="41"/>
      <c r="F46" s="41"/>
      <c r="G46" s="40"/>
      <c r="H46" s="57"/>
      <c r="I46" s="143"/>
    </row>
    <row r="47" spans="1:9" ht="16.2" x14ac:dyDescent="0.3">
      <c r="A47" s="8" t="s">
        <v>108</v>
      </c>
      <c r="B47" s="14" t="s">
        <v>109</v>
      </c>
      <c r="C47" s="2" t="s">
        <v>110</v>
      </c>
      <c r="D47" s="2" t="s">
        <v>16</v>
      </c>
      <c r="E47" s="79"/>
      <c r="F47" s="80"/>
      <c r="G47" s="2">
        <f>SUM(E47*0.55)</f>
        <v>0</v>
      </c>
      <c r="H47" s="55" t="s">
        <v>111</v>
      </c>
      <c r="I47" s="104"/>
    </row>
    <row r="48" spans="1:9" ht="16.2" x14ac:dyDescent="0.3">
      <c r="A48" s="8" t="s">
        <v>112</v>
      </c>
      <c r="B48" s="9" t="s">
        <v>113</v>
      </c>
      <c r="C48" s="2" t="s">
        <v>114</v>
      </c>
      <c r="D48" s="65"/>
      <c r="E48" s="79"/>
      <c r="F48" s="80"/>
      <c r="G48" s="2">
        <f>SUM(D48*E48*0.11)</f>
        <v>0</v>
      </c>
      <c r="H48" s="55" t="s">
        <v>115</v>
      </c>
      <c r="I48" s="104"/>
    </row>
    <row r="49" spans="1:9" ht="16.8" thickBot="1" x14ac:dyDescent="0.35">
      <c r="A49" s="42" t="s">
        <v>116</v>
      </c>
      <c r="B49" s="12" t="s">
        <v>117</v>
      </c>
      <c r="C49" s="13" t="s">
        <v>118</v>
      </c>
      <c r="D49" s="97"/>
      <c r="E49" s="70"/>
      <c r="F49" s="71"/>
      <c r="G49" s="66">
        <f>SUM(D49*E49*0.12)</f>
        <v>0</v>
      </c>
      <c r="H49" s="67" t="s">
        <v>115</v>
      </c>
      <c r="I49" s="148"/>
    </row>
    <row r="50" spans="1:9" ht="15" thickTop="1" x14ac:dyDescent="0.3">
      <c r="A50" s="39" t="s">
        <v>119</v>
      </c>
      <c r="B50" s="98"/>
      <c r="C50" s="99"/>
      <c r="D50" s="99"/>
      <c r="E50" s="100"/>
      <c r="F50" s="100"/>
      <c r="G50" s="99"/>
      <c r="H50" s="101"/>
      <c r="I50" s="102"/>
    </row>
    <row r="51" spans="1:9" ht="16.2" x14ac:dyDescent="0.3">
      <c r="A51" s="95" t="s">
        <v>120</v>
      </c>
      <c r="B51" s="103" t="s">
        <v>121</v>
      </c>
      <c r="C51" s="10" t="s">
        <v>122</v>
      </c>
      <c r="D51" s="4"/>
      <c r="E51" s="79"/>
      <c r="F51" s="80"/>
      <c r="G51" s="2">
        <f>SUM(D51*E51*0.016)</f>
        <v>0</v>
      </c>
      <c r="H51" s="55" t="s">
        <v>71</v>
      </c>
      <c r="I51" s="104"/>
    </row>
    <row r="52" spans="1:9" ht="16.2" x14ac:dyDescent="0.3">
      <c r="A52" s="95" t="s">
        <v>123</v>
      </c>
      <c r="B52" s="103" t="s">
        <v>124</v>
      </c>
      <c r="C52" s="10" t="s">
        <v>125</v>
      </c>
      <c r="D52" s="4"/>
      <c r="E52" s="79"/>
      <c r="F52" s="80"/>
      <c r="G52" s="2">
        <f>SUM(D52*E52*0.018)</f>
        <v>0</v>
      </c>
      <c r="H52" s="55" t="s">
        <v>71</v>
      </c>
      <c r="I52" s="104"/>
    </row>
    <row r="53" spans="1:9" ht="16.8" thickBot="1" x14ac:dyDescent="0.35">
      <c r="A53" s="96" t="s">
        <v>123</v>
      </c>
      <c r="B53" s="105" t="s">
        <v>126</v>
      </c>
      <c r="C53" s="106" t="s">
        <v>127</v>
      </c>
      <c r="D53" s="107"/>
      <c r="E53" s="108"/>
      <c r="F53" s="109"/>
      <c r="G53" s="110">
        <f>SUM(D53*E53*0.027)</f>
        <v>0</v>
      </c>
      <c r="H53" s="111" t="s">
        <v>71</v>
      </c>
      <c r="I53" s="112"/>
    </row>
    <row r="54" spans="1:9" ht="15" thickTop="1" x14ac:dyDescent="0.3">
      <c r="A54" s="39" t="s">
        <v>128</v>
      </c>
      <c r="B54" s="40"/>
      <c r="C54" s="40"/>
      <c r="D54" s="40"/>
      <c r="E54" s="41"/>
      <c r="F54" s="41"/>
      <c r="G54" s="40"/>
      <c r="H54" s="57"/>
      <c r="I54" s="143"/>
    </row>
    <row r="55" spans="1:9" ht="16.8" thickBot="1" x14ac:dyDescent="0.35">
      <c r="A55" s="42" t="s">
        <v>129</v>
      </c>
      <c r="B55" s="12" t="s">
        <v>130</v>
      </c>
      <c r="C55" s="66" t="s">
        <v>213</v>
      </c>
      <c r="D55" s="68"/>
      <c r="E55" s="70"/>
      <c r="F55" s="71"/>
      <c r="G55" s="66">
        <f>SUM(D55*E55*0.045)</f>
        <v>0</v>
      </c>
      <c r="H55" s="67" t="s">
        <v>71</v>
      </c>
      <c r="I55" s="148"/>
    </row>
    <row r="56" spans="1:9" ht="15" thickTop="1" x14ac:dyDescent="0.3">
      <c r="A56" s="39" t="s">
        <v>131</v>
      </c>
      <c r="B56" s="98"/>
      <c r="C56" s="99"/>
      <c r="D56" s="99"/>
      <c r="E56" s="100"/>
      <c r="F56" s="100"/>
      <c r="G56" s="99"/>
      <c r="H56" s="101"/>
      <c r="I56" s="113"/>
    </row>
    <row r="57" spans="1:9" ht="16.8" thickBot="1" x14ac:dyDescent="0.35">
      <c r="A57" s="96" t="s">
        <v>132</v>
      </c>
      <c r="B57" s="105" t="s">
        <v>130</v>
      </c>
      <c r="C57" s="110" t="s">
        <v>214</v>
      </c>
      <c r="D57" s="114"/>
      <c r="E57" s="108"/>
      <c r="F57" s="109"/>
      <c r="G57" s="110">
        <f>SUM(D57*E57*0.03)</f>
        <v>0</v>
      </c>
      <c r="H57" s="111" t="s">
        <v>71</v>
      </c>
      <c r="I57" s="112"/>
    </row>
    <row r="58" spans="1:9" ht="15" thickTop="1" x14ac:dyDescent="0.3">
      <c r="A58" s="39" t="s">
        <v>239</v>
      </c>
      <c r="B58" s="40"/>
      <c r="C58" s="40"/>
      <c r="D58" s="40"/>
      <c r="E58" s="41"/>
      <c r="F58" s="41"/>
      <c r="G58" s="40"/>
      <c r="H58" s="57"/>
      <c r="I58" s="143"/>
    </row>
    <row r="59" spans="1:9" ht="16.8" thickBot="1" x14ac:dyDescent="0.35">
      <c r="A59" s="42" t="s">
        <v>240</v>
      </c>
      <c r="B59" s="12" t="s">
        <v>130</v>
      </c>
      <c r="C59" s="66" t="s">
        <v>241</v>
      </c>
      <c r="D59" s="68"/>
      <c r="E59" s="70"/>
      <c r="F59" s="71"/>
      <c r="G59" s="66">
        <f>SUM(D59*E59*0.035)</f>
        <v>0</v>
      </c>
      <c r="H59" s="67" t="s">
        <v>71</v>
      </c>
      <c r="I59" s="148"/>
    </row>
    <row r="60" spans="1:9" ht="15" thickTop="1" x14ac:dyDescent="0.3">
      <c r="A60" s="39" t="s">
        <v>133</v>
      </c>
      <c r="B60" s="98"/>
      <c r="C60" s="99"/>
      <c r="D60" s="99"/>
      <c r="E60" s="100"/>
      <c r="F60" s="100"/>
      <c r="G60" s="99"/>
      <c r="H60" s="101"/>
      <c r="I60" s="113"/>
    </row>
    <row r="61" spans="1:9" ht="16.8" thickBot="1" x14ac:dyDescent="0.35">
      <c r="A61" s="96" t="s">
        <v>134</v>
      </c>
      <c r="B61" s="105" t="s">
        <v>135</v>
      </c>
      <c r="C61" s="110" t="s">
        <v>215</v>
      </c>
      <c r="D61" s="114"/>
      <c r="E61" s="108"/>
      <c r="F61" s="109"/>
      <c r="G61" s="110">
        <f>SUM(D61*E61*0.03)</f>
        <v>0</v>
      </c>
      <c r="H61" s="111" t="s">
        <v>71</v>
      </c>
      <c r="I61" s="112"/>
    </row>
    <row r="62" spans="1:9" ht="15" thickTop="1" x14ac:dyDescent="0.3">
      <c r="A62" s="39" t="s">
        <v>136</v>
      </c>
      <c r="B62" s="40"/>
      <c r="C62" s="40"/>
      <c r="D62" s="40"/>
      <c r="E62" s="41"/>
      <c r="F62" s="41"/>
      <c r="G62" s="40"/>
      <c r="H62" s="57"/>
      <c r="I62" s="143"/>
    </row>
    <row r="63" spans="1:9" x14ac:dyDescent="0.3">
      <c r="A63" s="8" t="s">
        <v>137</v>
      </c>
      <c r="B63" s="9" t="s">
        <v>138</v>
      </c>
      <c r="C63" s="9" t="s">
        <v>242</v>
      </c>
      <c r="D63" s="2" t="s">
        <v>16</v>
      </c>
      <c r="E63" s="79"/>
      <c r="F63" s="80"/>
      <c r="G63" s="2">
        <f>SUM(E63/1000*15)</f>
        <v>0</v>
      </c>
      <c r="H63" s="55" t="s">
        <v>139</v>
      </c>
      <c r="I63" s="104"/>
    </row>
    <row r="64" spans="1:9" ht="16.2" x14ac:dyDescent="0.3">
      <c r="A64" s="8" t="s">
        <v>140</v>
      </c>
      <c r="B64" s="9" t="s">
        <v>55</v>
      </c>
      <c r="C64" s="10" t="s">
        <v>243</v>
      </c>
      <c r="D64" s="15" t="s">
        <v>16</v>
      </c>
      <c r="E64" s="79"/>
      <c r="F64" s="80"/>
      <c r="G64" s="2">
        <f>SUM(E64/1000*20)</f>
        <v>0</v>
      </c>
      <c r="H64" s="55" t="s">
        <v>141</v>
      </c>
      <c r="I64" s="104"/>
    </row>
    <row r="65" spans="1:9" ht="16.2" x14ac:dyDescent="0.3">
      <c r="A65" s="8" t="s">
        <v>142</v>
      </c>
      <c r="B65" s="9" t="s">
        <v>143</v>
      </c>
      <c r="C65" s="10" t="s">
        <v>147</v>
      </c>
      <c r="D65" s="4"/>
      <c r="E65" s="79"/>
      <c r="F65" s="80"/>
      <c r="G65" s="2">
        <f>SUM(D65*E65*0.017)</f>
        <v>0</v>
      </c>
      <c r="H65" s="55" t="s">
        <v>32</v>
      </c>
      <c r="I65" s="104"/>
    </row>
    <row r="66" spans="1:9" ht="16.2" x14ac:dyDescent="0.3">
      <c r="A66" s="8" t="s">
        <v>145</v>
      </c>
      <c r="B66" s="9" t="s">
        <v>146</v>
      </c>
      <c r="C66" s="10" t="s">
        <v>244</v>
      </c>
      <c r="D66" s="4"/>
      <c r="E66" s="79"/>
      <c r="F66" s="80"/>
      <c r="G66" s="2">
        <f>SUM(D66*E66*0.02)</f>
        <v>0</v>
      </c>
      <c r="H66" s="55" t="s">
        <v>81</v>
      </c>
      <c r="I66" s="104"/>
    </row>
    <row r="67" spans="1:9" ht="16.2" x14ac:dyDescent="0.3">
      <c r="A67" s="8" t="s">
        <v>148</v>
      </c>
      <c r="B67" s="9" t="s">
        <v>149</v>
      </c>
      <c r="C67" s="10" t="s">
        <v>245</v>
      </c>
      <c r="D67" s="4"/>
      <c r="E67" s="79"/>
      <c r="F67" s="80"/>
      <c r="G67" s="2">
        <f>SUM(D67*E67*0.039)</f>
        <v>0</v>
      </c>
      <c r="H67" s="55" t="s">
        <v>150</v>
      </c>
      <c r="I67" s="104"/>
    </row>
    <row r="68" spans="1:9" ht="16.8" thickBot="1" x14ac:dyDescent="0.35">
      <c r="A68" s="42" t="s">
        <v>151</v>
      </c>
      <c r="B68" s="35" t="s">
        <v>152</v>
      </c>
      <c r="C68" s="36" t="s">
        <v>246</v>
      </c>
      <c r="D68" s="34" t="s">
        <v>16</v>
      </c>
      <c r="E68" s="81"/>
      <c r="F68" s="82"/>
      <c r="G68" s="37">
        <f>SUM(E68*11.5)</f>
        <v>0</v>
      </c>
      <c r="H68" s="56" t="s">
        <v>153</v>
      </c>
      <c r="I68" s="144"/>
    </row>
    <row r="69" spans="1:9" ht="15" thickTop="1" x14ac:dyDescent="0.3">
      <c r="A69" s="39" t="s">
        <v>154</v>
      </c>
      <c r="B69" s="40"/>
      <c r="C69" s="40"/>
      <c r="D69" s="40"/>
      <c r="E69" s="41"/>
      <c r="F69" s="41"/>
      <c r="G69" s="40"/>
      <c r="H69" s="57"/>
      <c r="I69" s="143"/>
    </row>
    <row r="70" spans="1:9" ht="16.2" x14ac:dyDescent="0.3">
      <c r="A70" s="8" t="s">
        <v>155</v>
      </c>
      <c r="B70" s="9" t="s">
        <v>55</v>
      </c>
      <c r="C70" s="10" t="s">
        <v>247</v>
      </c>
      <c r="D70" s="15" t="s">
        <v>16</v>
      </c>
      <c r="E70" s="79"/>
      <c r="F70" s="80"/>
      <c r="G70" s="2">
        <f>SUM(E70/1000*12)</f>
        <v>0</v>
      </c>
      <c r="H70" s="55" t="s">
        <v>156</v>
      </c>
      <c r="I70" s="104"/>
    </row>
    <row r="71" spans="1:9" ht="16.2" x14ac:dyDescent="0.3">
      <c r="A71" s="8" t="s">
        <v>157</v>
      </c>
      <c r="B71" s="9" t="s">
        <v>158</v>
      </c>
      <c r="C71" s="10" t="s">
        <v>248</v>
      </c>
      <c r="D71" s="4"/>
      <c r="E71" s="79"/>
      <c r="F71" s="80"/>
      <c r="G71" s="2">
        <f>SUM(D71*E71*0.013)</f>
        <v>0</v>
      </c>
      <c r="H71" s="55" t="s">
        <v>159</v>
      </c>
      <c r="I71" s="104"/>
    </row>
    <row r="72" spans="1:9" ht="16.2" x14ac:dyDescent="0.3">
      <c r="A72" s="8" t="s">
        <v>160</v>
      </c>
      <c r="B72" s="9" t="s">
        <v>161</v>
      </c>
      <c r="C72" s="10" t="s">
        <v>144</v>
      </c>
      <c r="D72" s="4"/>
      <c r="E72" s="79"/>
      <c r="F72" s="80"/>
      <c r="G72" s="2">
        <f>SUM(D72*E72*0.016)</f>
        <v>0</v>
      </c>
      <c r="H72" s="55" t="s">
        <v>162</v>
      </c>
      <c r="I72" s="104"/>
    </row>
    <row r="73" spans="1:9" ht="16.2" x14ac:dyDescent="0.3">
      <c r="A73" s="8" t="s">
        <v>160</v>
      </c>
      <c r="B73" s="9" t="s">
        <v>163</v>
      </c>
      <c r="C73" s="10" t="s">
        <v>249</v>
      </c>
      <c r="D73" s="15" t="s">
        <v>16</v>
      </c>
      <c r="E73" s="79"/>
      <c r="F73" s="80"/>
      <c r="G73" s="2">
        <f>SUM(E73*8)</f>
        <v>0</v>
      </c>
      <c r="H73" s="55" t="s">
        <v>153</v>
      </c>
      <c r="I73" s="104"/>
    </row>
    <row r="74" spans="1:9" ht="16.2" x14ac:dyDescent="0.3">
      <c r="A74" s="8" t="s">
        <v>164</v>
      </c>
      <c r="B74" s="9" t="s">
        <v>165</v>
      </c>
      <c r="C74" s="10" t="s">
        <v>250</v>
      </c>
      <c r="D74" s="15" t="s">
        <v>16</v>
      </c>
      <c r="E74" s="79"/>
      <c r="F74" s="80"/>
      <c r="G74" s="2">
        <f>SUM(E74*7)</f>
        <v>0</v>
      </c>
      <c r="H74" s="55" t="s">
        <v>153</v>
      </c>
      <c r="I74" s="104"/>
    </row>
    <row r="75" spans="1:9" ht="16.2" x14ac:dyDescent="0.3">
      <c r="A75" s="8" t="s">
        <v>166</v>
      </c>
      <c r="B75" s="19" t="s">
        <v>216</v>
      </c>
      <c r="C75" s="10" t="s">
        <v>251</v>
      </c>
      <c r="D75" s="15" t="s">
        <v>16</v>
      </c>
      <c r="E75" s="79"/>
      <c r="F75" s="80"/>
      <c r="G75" s="2">
        <f>SUM(E75*4.99)</f>
        <v>0</v>
      </c>
      <c r="H75" s="55" t="s">
        <v>153</v>
      </c>
      <c r="I75" s="104"/>
    </row>
    <row r="76" spans="1:9" ht="16.8" thickBot="1" x14ac:dyDescent="0.35">
      <c r="A76" s="11" t="s">
        <v>167</v>
      </c>
      <c r="B76" s="35" t="s">
        <v>168</v>
      </c>
      <c r="C76" s="36" t="s">
        <v>252</v>
      </c>
      <c r="D76" s="34" t="s">
        <v>16</v>
      </c>
      <c r="E76" s="81"/>
      <c r="F76" s="82"/>
      <c r="G76" s="37">
        <f>SUM(E76*5.55)</f>
        <v>0</v>
      </c>
      <c r="H76" s="56" t="s">
        <v>153</v>
      </c>
      <c r="I76" s="144"/>
    </row>
    <row r="77" spans="1:9" ht="15" thickTop="1" x14ac:dyDescent="0.3">
      <c r="A77" s="43" t="s">
        <v>169</v>
      </c>
      <c r="B77" s="40"/>
      <c r="C77" s="40"/>
      <c r="D77" s="40"/>
      <c r="E77" s="41"/>
      <c r="F77" s="41"/>
      <c r="G77" s="40"/>
      <c r="H77" s="57"/>
      <c r="I77" s="143"/>
    </row>
    <row r="78" spans="1:9" ht="16.2" x14ac:dyDescent="0.3">
      <c r="A78" s="11" t="s">
        <v>170</v>
      </c>
      <c r="B78" s="12" t="s">
        <v>171</v>
      </c>
      <c r="C78" s="20" t="s">
        <v>172</v>
      </c>
      <c r="D78" s="21" t="s">
        <v>16</v>
      </c>
      <c r="E78" s="79"/>
      <c r="F78" s="80"/>
      <c r="G78" s="2">
        <f>SUM(E78*0.18)</f>
        <v>0</v>
      </c>
      <c r="H78" s="67" t="s">
        <v>173</v>
      </c>
      <c r="I78" s="104"/>
    </row>
    <row r="79" spans="1:9" ht="16.2" x14ac:dyDescent="0.3">
      <c r="A79" s="8" t="s">
        <v>174</v>
      </c>
      <c r="B79" s="9" t="s">
        <v>175</v>
      </c>
      <c r="C79" s="10" t="s">
        <v>253</v>
      </c>
      <c r="D79" s="6"/>
      <c r="E79" s="79"/>
      <c r="F79" s="80"/>
      <c r="G79" s="2">
        <f>SUM(D79*E79*0.037)</f>
        <v>0</v>
      </c>
      <c r="H79" s="55" t="s">
        <v>176</v>
      </c>
      <c r="I79" s="104"/>
    </row>
    <row r="80" spans="1:9" ht="16.2" x14ac:dyDescent="0.3">
      <c r="A80" s="8" t="s">
        <v>177</v>
      </c>
      <c r="B80" s="9" t="s">
        <v>178</v>
      </c>
      <c r="C80" s="10" t="s">
        <v>245</v>
      </c>
      <c r="D80" s="6"/>
      <c r="E80" s="79"/>
      <c r="F80" s="80"/>
      <c r="G80" s="2">
        <f>SUM(D80*E80*0.039)</f>
        <v>0</v>
      </c>
      <c r="H80" s="55" t="s">
        <v>25</v>
      </c>
      <c r="I80" s="104"/>
    </row>
    <row r="81" spans="1:9" ht="16.8" thickBot="1" x14ac:dyDescent="0.35">
      <c r="A81" s="42" t="s">
        <v>180</v>
      </c>
      <c r="B81" s="35" t="s">
        <v>181</v>
      </c>
      <c r="C81" s="36" t="s">
        <v>254</v>
      </c>
      <c r="D81" s="34" t="s">
        <v>16</v>
      </c>
      <c r="E81" s="81"/>
      <c r="F81" s="82"/>
      <c r="G81" s="37">
        <f>SUM(E81*20.5)</f>
        <v>0</v>
      </c>
      <c r="H81" s="56" t="s">
        <v>25</v>
      </c>
      <c r="I81" s="144"/>
    </row>
    <row r="82" spans="1:9" ht="15" thickTop="1" x14ac:dyDescent="0.3">
      <c r="A82" s="39" t="s">
        <v>182</v>
      </c>
      <c r="B82" s="40"/>
      <c r="C82" s="40"/>
      <c r="D82" s="40"/>
      <c r="E82" s="41"/>
      <c r="F82" s="41"/>
      <c r="G82" s="40"/>
      <c r="H82" s="57"/>
      <c r="I82" s="143"/>
    </row>
    <row r="83" spans="1:9" ht="16.2" x14ac:dyDescent="0.3">
      <c r="A83" s="8" t="s">
        <v>183</v>
      </c>
      <c r="B83" s="9" t="s">
        <v>184</v>
      </c>
      <c r="C83" s="10" t="s">
        <v>185</v>
      </c>
      <c r="D83" s="6"/>
      <c r="E83" s="79"/>
      <c r="F83" s="80"/>
      <c r="G83" s="2">
        <f>SUM(D83*E83*0.06)</f>
        <v>0</v>
      </c>
      <c r="H83" s="55" t="s">
        <v>21</v>
      </c>
      <c r="I83" s="104"/>
    </row>
    <row r="84" spans="1:9" ht="16.2" x14ac:dyDescent="0.3">
      <c r="A84" s="8" t="s">
        <v>186</v>
      </c>
      <c r="B84" s="9" t="s">
        <v>187</v>
      </c>
      <c r="C84" s="10" t="s">
        <v>63</v>
      </c>
      <c r="D84" s="5"/>
      <c r="E84" s="79"/>
      <c r="F84" s="80"/>
      <c r="G84" s="2">
        <f>SUM(D84*E84*0.032)</f>
        <v>0</v>
      </c>
      <c r="H84" s="55" t="s">
        <v>260</v>
      </c>
      <c r="I84" s="104"/>
    </row>
    <row r="85" spans="1:9" ht="16.2" x14ac:dyDescent="0.3">
      <c r="A85" s="8" t="s">
        <v>188</v>
      </c>
      <c r="B85" s="9" t="s">
        <v>189</v>
      </c>
      <c r="C85" s="10" t="s">
        <v>190</v>
      </c>
      <c r="D85" s="5"/>
      <c r="E85" s="79"/>
      <c r="F85" s="80"/>
      <c r="G85" s="2">
        <f>SUM(D85*E85*0.047)</f>
        <v>0</v>
      </c>
      <c r="H85" s="55" t="s">
        <v>191</v>
      </c>
      <c r="I85" s="104"/>
    </row>
    <row r="86" spans="1:9" ht="16.2" x14ac:dyDescent="0.3">
      <c r="A86" s="8" t="s">
        <v>192</v>
      </c>
      <c r="B86" s="9" t="s">
        <v>193</v>
      </c>
      <c r="C86" s="10" t="s">
        <v>194</v>
      </c>
      <c r="D86" s="15" t="s">
        <v>16</v>
      </c>
      <c r="E86" s="79"/>
      <c r="F86" s="80"/>
      <c r="G86" s="2">
        <f>SUM(E86*19.1)</f>
        <v>0</v>
      </c>
      <c r="H86" s="55" t="s">
        <v>179</v>
      </c>
      <c r="I86" s="104"/>
    </row>
    <row r="87" spans="1:9" ht="16.8" thickBot="1" x14ac:dyDescent="0.35">
      <c r="A87" s="38" t="s">
        <v>195</v>
      </c>
      <c r="B87" s="35" t="s">
        <v>196</v>
      </c>
      <c r="C87" s="36" t="s">
        <v>197</v>
      </c>
      <c r="D87" s="34" t="s">
        <v>16</v>
      </c>
      <c r="E87" s="81"/>
      <c r="F87" s="82"/>
      <c r="G87" s="37">
        <f>SUM(E87*20.5)</f>
        <v>0</v>
      </c>
      <c r="H87" s="56" t="s">
        <v>191</v>
      </c>
      <c r="I87" s="144"/>
    </row>
    <row r="88" spans="1:9" ht="15" thickTop="1" x14ac:dyDescent="0.3">
      <c r="A88" s="43" t="s">
        <v>217</v>
      </c>
      <c r="B88" s="61"/>
      <c r="C88" s="61"/>
      <c r="D88" s="61"/>
      <c r="E88" s="61"/>
      <c r="F88" s="61"/>
      <c r="G88" s="61"/>
      <c r="H88" s="62"/>
      <c r="I88" s="149"/>
    </row>
    <row r="89" spans="1:9" ht="15" thickBot="1" x14ac:dyDescent="0.35">
      <c r="A89" s="8" t="s">
        <v>221</v>
      </c>
      <c r="B89" s="9" t="s">
        <v>218</v>
      </c>
      <c r="C89" s="10" t="s">
        <v>219</v>
      </c>
      <c r="D89" s="5"/>
      <c r="E89" s="81"/>
      <c r="F89" s="82"/>
      <c r="G89" s="2">
        <f>SUM(D89*E89*0.066)</f>
        <v>0</v>
      </c>
      <c r="H89" s="55" t="s">
        <v>111</v>
      </c>
      <c r="I89" s="104"/>
    </row>
    <row r="90" spans="1:9" ht="15" thickTop="1" x14ac:dyDescent="0.3">
      <c r="A90" s="43" t="s">
        <v>220</v>
      </c>
      <c r="B90" s="61"/>
      <c r="C90" s="61"/>
      <c r="D90" s="61"/>
      <c r="E90" s="61"/>
      <c r="F90" s="61"/>
      <c r="G90" s="61"/>
      <c r="H90" s="62"/>
      <c r="I90" s="149"/>
    </row>
    <row r="91" spans="1:9" ht="15" thickBot="1" x14ac:dyDescent="0.35">
      <c r="A91" s="8" t="s">
        <v>222</v>
      </c>
      <c r="B91" s="9" t="s">
        <v>218</v>
      </c>
      <c r="C91" s="10" t="s">
        <v>255</v>
      </c>
      <c r="D91" s="5"/>
      <c r="E91" s="81"/>
      <c r="F91" s="82"/>
      <c r="G91" s="2">
        <f>SUM(D91*E91*0.045)</f>
        <v>0</v>
      </c>
      <c r="H91" s="55" t="s">
        <v>115</v>
      </c>
      <c r="I91" s="104"/>
    </row>
    <row r="92" spans="1:9" ht="15" thickTop="1" x14ac:dyDescent="0.3">
      <c r="A92" s="43" t="s">
        <v>198</v>
      </c>
      <c r="B92" s="61"/>
      <c r="C92" s="61"/>
      <c r="D92" s="61"/>
      <c r="E92" s="61"/>
      <c r="F92" s="61"/>
      <c r="G92" s="61"/>
      <c r="H92" s="62"/>
      <c r="I92" s="149"/>
    </row>
    <row r="93" spans="1:9" ht="15" thickBot="1" x14ac:dyDescent="0.35">
      <c r="A93" s="8" t="s">
        <v>199</v>
      </c>
      <c r="B93" s="9" t="s">
        <v>200</v>
      </c>
      <c r="C93" s="10" t="s">
        <v>201</v>
      </c>
      <c r="D93" s="5"/>
      <c r="E93" s="81"/>
      <c r="F93" s="82"/>
      <c r="G93" s="2">
        <f>SUM(D93*E93*0.035)</f>
        <v>0</v>
      </c>
      <c r="H93" s="55" t="s">
        <v>81</v>
      </c>
      <c r="I93" s="104"/>
    </row>
    <row r="94" spans="1:9" ht="15" thickTop="1" x14ac:dyDescent="0.3">
      <c r="A94" s="43" t="s">
        <v>223</v>
      </c>
      <c r="B94" s="61"/>
      <c r="C94" s="61"/>
      <c r="D94" s="61"/>
      <c r="E94" s="61"/>
      <c r="F94" s="61"/>
      <c r="G94" s="61"/>
      <c r="H94" s="62"/>
      <c r="I94" s="149"/>
    </row>
    <row r="95" spans="1:9" ht="15" thickBot="1" x14ac:dyDescent="0.35">
      <c r="A95" s="8" t="s">
        <v>224</v>
      </c>
      <c r="B95" s="9" t="s">
        <v>200</v>
      </c>
      <c r="C95" s="10" t="s">
        <v>201</v>
      </c>
      <c r="D95" s="5"/>
      <c r="E95" s="81"/>
      <c r="F95" s="82"/>
      <c r="G95" s="2">
        <f>SUM(D95*E95*0.035)</f>
        <v>0</v>
      </c>
      <c r="H95" s="55" t="s">
        <v>81</v>
      </c>
      <c r="I95" s="104"/>
    </row>
    <row r="96" spans="1:9" ht="15.6" thickTop="1" thickBot="1" x14ac:dyDescent="0.35">
      <c r="A96" s="150" t="s">
        <v>202</v>
      </c>
      <c r="B96" s="115"/>
      <c r="C96" s="115"/>
      <c r="D96" s="115"/>
      <c r="E96" s="115"/>
      <c r="F96" s="115"/>
      <c r="G96" s="115"/>
      <c r="H96" s="64"/>
      <c r="I96" s="151"/>
    </row>
    <row r="97" spans="1:9" ht="46.8" customHeight="1" thickBot="1" x14ac:dyDescent="0.35">
      <c r="A97" s="117" t="s">
        <v>203</v>
      </c>
      <c r="B97" s="118" t="s">
        <v>204</v>
      </c>
      <c r="C97" s="119" t="s">
        <v>261</v>
      </c>
      <c r="D97" s="120" t="s">
        <v>16</v>
      </c>
      <c r="E97" s="121"/>
      <c r="F97" s="122"/>
      <c r="G97" s="123">
        <f>E97*1</f>
        <v>0</v>
      </c>
      <c r="H97" s="124" t="s">
        <v>21</v>
      </c>
      <c r="I97" s="125"/>
    </row>
    <row r="98" spans="1:9" ht="33" customHeight="1" thickBot="1" x14ac:dyDescent="0.35">
      <c r="A98" s="126" t="s">
        <v>262</v>
      </c>
      <c r="B98" s="127"/>
      <c r="C98" s="127"/>
      <c r="D98" s="127"/>
      <c r="E98" s="127"/>
      <c r="F98" s="128"/>
      <c r="G98" s="129">
        <f>SUM(G7:G97)</f>
        <v>0</v>
      </c>
      <c r="H98" s="116"/>
    </row>
    <row r="99" spans="1:9" ht="15" thickTop="1" x14ac:dyDescent="0.3">
      <c r="H99" s="23"/>
      <c r="I99" s="22"/>
    </row>
    <row r="101" spans="1:9" x14ac:dyDescent="0.3">
      <c r="A101" s="24" t="s">
        <v>205</v>
      </c>
      <c r="B101" s="63"/>
    </row>
    <row r="102" spans="1:9" ht="18" x14ac:dyDescent="0.35">
      <c r="A102" s="24"/>
      <c r="B102" s="24" t="s">
        <v>256</v>
      </c>
    </row>
    <row r="103" spans="1:9" ht="15" thickBot="1" x14ac:dyDescent="0.35"/>
    <row r="104" spans="1:9" ht="15.6" x14ac:dyDescent="0.3">
      <c r="B104" s="25" t="s">
        <v>206</v>
      </c>
      <c r="C104" s="72"/>
      <c r="D104" s="73"/>
    </row>
    <row r="105" spans="1:9" ht="15.6" x14ac:dyDescent="0.3">
      <c r="B105" s="26" t="s">
        <v>207</v>
      </c>
      <c r="C105" s="74"/>
      <c r="D105" s="75"/>
    </row>
    <row r="106" spans="1:9" ht="16.2" thickBot="1" x14ac:dyDescent="0.35">
      <c r="B106" s="27" t="s">
        <v>208</v>
      </c>
      <c r="C106" s="76"/>
      <c r="D106" s="77"/>
    </row>
    <row r="108" spans="1:9" ht="22.8" x14ac:dyDescent="0.4">
      <c r="A108" s="28" t="s">
        <v>257</v>
      </c>
      <c r="G108" s="69" t="s">
        <v>209</v>
      </c>
      <c r="H108" s="69"/>
    </row>
    <row r="109" spans="1:9" ht="17.399999999999999" x14ac:dyDescent="0.3">
      <c r="A109" s="29" t="s">
        <v>210</v>
      </c>
    </row>
  </sheetData>
  <sheetProtection sheet="1" selectLockedCells="1"/>
  <mergeCells count="83">
    <mergeCell ref="E97:F97"/>
    <mergeCell ref="E75:F75"/>
    <mergeCell ref="A98:F98"/>
    <mergeCell ref="E91:F91"/>
    <mergeCell ref="E93:F93"/>
    <mergeCell ref="E36:F36"/>
    <mergeCell ref="E45:F45"/>
    <mergeCell ref="E43:F43"/>
    <mergeCell ref="E44:F44"/>
    <mergeCell ref="E59:F59"/>
    <mergeCell ref="E85:F85"/>
    <mergeCell ref="E86:F86"/>
    <mergeCell ref="E87:F87"/>
    <mergeCell ref="E95:F95"/>
    <mergeCell ref="E89:F89"/>
    <mergeCell ref="E79:F79"/>
    <mergeCell ref="E80:F80"/>
    <mergeCell ref="E81:F81"/>
    <mergeCell ref="E83:F83"/>
    <mergeCell ref="E84:F84"/>
    <mergeCell ref="E76:F76"/>
    <mergeCell ref="E55:F55"/>
    <mergeCell ref="E57:F57"/>
    <mergeCell ref="E61:F61"/>
    <mergeCell ref="E78:F78"/>
    <mergeCell ref="E63:F63"/>
    <mergeCell ref="E64:F64"/>
    <mergeCell ref="E65:F65"/>
    <mergeCell ref="E66:F66"/>
    <mergeCell ref="E67:F67"/>
    <mergeCell ref="E68:F68"/>
    <mergeCell ref="E70:F70"/>
    <mergeCell ref="E71:F71"/>
    <mergeCell ref="E72:F72"/>
    <mergeCell ref="E73:F73"/>
    <mergeCell ref="E74:F74"/>
    <mergeCell ref="I4:I5"/>
    <mergeCell ref="E5:F5"/>
    <mergeCell ref="A6:H6"/>
    <mergeCell ref="E7:F7"/>
    <mergeCell ref="E8:F8"/>
    <mergeCell ref="E9:F9"/>
    <mergeCell ref="E10:F10"/>
    <mergeCell ref="E12:F12"/>
    <mergeCell ref="E13:F13"/>
    <mergeCell ref="E11:F11"/>
    <mergeCell ref="E15:F15"/>
    <mergeCell ref="E17:F17"/>
    <mergeCell ref="E18:F18"/>
    <mergeCell ref="A1:H1"/>
    <mergeCell ref="A2:H2"/>
    <mergeCell ref="C3:H3"/>
    <mergeCell ref="B4:B5"/>
    <mergeCell ref="D4:D5"/>
    <mergeCell ref="H4:H5"/>
    <mergeCell ref="E4:F4"/>
    <mergeCell ref="E31:F31"/>
    <mergeCell ref="E26:F26"/>
    <mergeCell ref="E27:F27"/>
    <mergeCell ref="E20:F20"/>
    <mergeCell ref="E22:F22"/>
    <mergeCell ref="E23:F23"/>
    <mergeCell ref="E24:F24"/>
    <mergeCell ref="E19:F19"/>
    <mergeCell ref="E28:F28"/>
    <mergeCell ref="E29:F29"/>
    <mergeCell ref="E52:F52"/>
    <mergeCell ref="E53:F53"/>
    <mergeCell ref="E47:F47"/>
    <mergeCell ref="E48:F48"/>
    <mergeCell ref="E49:F49"/>
    <mergeCell ref="E42:F42"/>
    <mergeCell ref="E32:F32"/>
    <mergeCell ref="E37:F37"/>
    <mergeCell ref="E39:F39"/>
    <mergeCell ref="E51:F51"/>
    <mergeCell ref="E41:F41"/>
    <mergeCell ref="E35:F35"/>
    <mergeCell ref="E34:F34"/>
    <mergeCell ref="G108:H108"/>
    <mergeCell ref="C104:D104"/>
    <mergeCell ref="C105:D105"/>
    <mergeCell ref="C106:D106"/>
  </mergeCells>
  <hyperlinks>
    <hyperlink ref="G108" r:id="rId1" xr:uid="{00000000-0004-0000-0000-000000000000}"/>
  </hyperlinks>
  <pageMargins left="0.23622047244094491" right="0.23622047244094491" top="0" bottom="0" header="0.31496062992125984" footer="0.31496062992125984"/>
  <pageSetup paperSize="9" scale="39" orientation="portrait" verticalDpi="0" r:id="rId2"/>
  <rowBreaks count="1" manualBreakCount="1">
    <brk id="43" max="16383" man="1"/>
  </row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Hárok1</vt:lpstr>
      <vt:lpstr>Hárok1!Oblasť_tlače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2026-01-16T08:48:15Z</dcterms:modified>
  <cp:category/>
  <cp:contentStatus/>
</cp:coreProperties>
</file>